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5" yWindow="240" windowWidth="15120" windowHeight="8010" activeTab="3"/>
  </bookViews>
  <sheets>
    <sheet name="штатний 2020" sheetId="1" r:id="rId1"/>
    <sheet name="Лист2" sheetId="2" r:id="rId2"/>
    <sheet name="Лист3" sheetId="3" r:id="rId3"/>
    <sheet name="штатний 01.01.21" sheetId="4" r:id="rId4"/>
    <sheet name="штатний 01.07.21" sheetId="5" r:id="rId5"/>
  </sheets>
  <definedNames>
    <definedName name="_xlnm.Print_Area" localSheetId="3">'штатний 01.01.21'!$A$1:$O$57</definedName>
    <definedName name="_xlnm.Print_Area" localSheetId="4">'штатний 01.07.21'!$A$1:$O$57</definedName>
    <definedName name="_xlnm.Print_Area" localSheetId="0">'штатний 2020'!$A$1:$O$57</definedName>
  </definedNames>
  <calcPr calcId="144525"/>
</workbook>
</file>

<file path=xl/calcChain.xml><?xml version="1.0" encoding="utf-8"?>
<calcChain xmlns="http://schemas.openxmlformats.org/spreadsheetml/2006/main">
  <c r="J25" i="4" l="1"/>
  <c r="K46" i="4"/>
  <c r="K44" i="4"/>
  <c r="M44" i="5"/>
  <c r="N44" i="5" s="1"/>
  <c r="O44" i="5" s="1"/>
  <c r="F25" i="5"/>
  <c r="F31" i="5" s="1"/>
  <c r="F49" i="5" s="1"/>
  <c r="E26" i="5"/>
  <c r="F26" i="5" s="1"/>
  <c r="F28" i="5"/>
  <c r="G28" i="5"/>
  <c r="G66" i="5" s="1"/>
  <c r="F29" i="5"/>
  <c r="F30" i="5"/>
  <c r="G30" i="5"/>
  <c r="G65" i="5" s="1"/>
  <c r="G33" i="5"/>
  <c r="M33" i="5" s="1"/>
  <c r="I33" i="5"/>
  <c r="G34" i="5"/>
  <c r="G64" i="5" s="1"/>
  <c r="G36" i="5"/>
  <c r="G39" i="5"/>
  <c r="M39" i="5" s="1"/>
  <c r="L39" i="5"/>
  <c r="G41" i="5"/>
  <c r="G60" i="5" s="1"/>
  <c r="G43" i="5"/>
  <c r="G44" i="5"/>
  <c r="K44" i="5"/>
  <c r="G46" i="5"/>
  <c r="M46" i="5" s="1"/>
  <c r="K46" i="5"/>
  <c r="K59" i="5" s="1"/>
  <c r="G47" i="5"/>
  <c r="M47" i="5" s="1"/>
  <c r="L47" i="5"/>
  <c r="N47" i="5"/>
  <c r="O47" i="5" s="1"/>
  <c r="D31" i="5"/>
  <c r="G35" i="5"/>
  <c r="D37" i="5"/>
  <c r="E37" i="5"/>
  <c r="F37" i="5"/>
  <c r="G37" i="5"/>
  <c r="H37" i="5"/>
  <c r="I37" i="5"/>
  <c r="K37" i="5"/>
  <c r="L37" i="5"/>
  <c r="L49" i="5" s="1"/>
  <c r="G40" i="5"/>
  <c r="G42" i="5"/>
  <c r="G45" i="5"/>
  <c r="M45" i="5" s="1"/>
  <c r="D48" i="5"/>
  <c r="E48" i="5"/>
  <c r="L48" i="5"/>
  <c r="D59" i="5"/>
  <c r="D70" i="5" s="1"/>
  <c r="E59" i="5"/>
  <c r="F59" i="5"/>
  <c r="H59" i="5"/>
  <c r="H70" i="5" s="1"/>
  <c r="I59" i="5"/>
  <c r="J59" i="5"/>
  <c r="D60" i="5"/>
  <c r="E60" i="5"/>
  <c r="F60" i="5"/>
  <c r="H60" i="5"/>
  <c r="I60" i="5"/>
  <c r="J60" i="5"/>
  <c r="K60" i="5"/>
  <c r="L60" i="5"/>
  <c r="D61" i="5"/>
  <c r="E61" i="5"/>
  <c r="F61" i="5"/>
  <c r="H61" i="5"/>
  <c r="I61" i="5"/>
  <c r="J61" i="5"/>
  <c r="K61" i="5"/>
  <c r="L61" i="5"/>
  <c r="D62" i="5"/>
  <c r="E62" i="5"/>
  <c r="F62" i="5"/>
  <c r="G62" i="5"/>
  <c r="H62" i="5"/>
  <c r="I62" i="5"/>
  <c r="J62" i="5"/>
  <c r="K62" i="5"/>
  <c r="L62" i="5"/>
  <c r="D63" i="5"/>
  <c r="E63" i="5"/>
  <c r="F63" i="5"/>
  <c r="G63" i="5"/>
  <c r="H63" i="5"/>
  <c r="I63" i="5"/>
  <c r="J63" i="5"/>
  <c r="K63" i="5"/>
  <c r="L63" i="5"/>
  <c r="D64" i="5"/>
  <c r="E64" i="5"/>
  <c r="F64" i="5"/>
  <c r="H64" i="5"/>
  <c r="I64" i="5"/>
  <c r="J64" i="5"/>
  <c r="K64" i="5"/>
  <c r="L64" i="5"/>
  <c r="D65" i="5"/>
  <c r="E65" i="5"/>
  <c r="F65" i="5"/>
  <c r="H65" i="5"/>
  <c r="K65" i="5"/>
  <c r="L65" i="5"/>
  <c r="M65" i="5"/>
  <c r="D66" i="5"/>
  <c r="E66" i="5"/>
  <c r="F66" i="5"/>
  <c r="H66" i="5"/>
  <c r="K66" i="5"/>
  <c r="L66" i="5"/>
  <c r="M66" i="5"/>
  <c r="D67" i="5"/>
  <c r="E67" i="5"/>
  <c r="H67" i="5"/>
  <c r="K67" i="5"/>
  <c r="L67" i="5"/>
  <c r="M67" i="5"/>
  <c r="D68" i="5"/>
  <c r="E68" i="5"/>
  <c r="H68" i="5"/>
  <c r="K68" i="5"/>
  <c r="L68" i="5"/>
  <c r="M68" i="5"/>
  <c r="D69" i="5"/>
  <c r="E69" i="5"/>
  <c r="H69" i="5"/>
  <c r="K69" i="5"/>
  <c r="L69" i="5"/>
  <c r="M69" i="5"/>
  <c r="G40" i="4"/>
  <c r="G41" i="4"/>
  <c r="G43" i="4"/>
  <c r="M43" i="4" s="1"/>
  <c r="G44" i="4"/>
  <c r="G60" i="4" s="1"/>
  <c r="G45" i="4"/>
  <c r="G46" i="4"/>
  <c r="M46" i="4" s="1"/>
  <c r="G47" i="4"/>
  <c r="G39" i="4"/>
  <c r="M39" i="4" s="1"/>
  <c r="G34" i="4"/>
  <c r="M34" i="4" s="1"/>
  <c r="G35" i="4"/>
  <c r="G36" i="4"/>
  <c r="G33" i="4"/>
  <c r="M36" i="4"/>
  <c r="M62" i="4" s="1"/>
  <c r="M41" i="4"/>
  <c r="M47" i="4"/>
  <c r="F25" i="4"/>
  <c r="G25" i="4" s="1"/>
  <c r="E26" i="4"/>
  <c r="F26" i="4" s="1"/>
  <c r="F28" i="4"/>
  <c r="F29" i="4"/>
  <c r="G29" i="4"/>
  <c r="G67" i="4" s="1"/>
  <c r="F30" i="4"/>
  <c r="I33" i="4"/>
  <c r="N34" i="4"/>
  <c r="O34" i="4" s="1"/>
  <c r="O64" i="4" s="1"/>
  <c r="N36" i="4"/>
  <c r="N62" i="4" s="1"/>
  <c r="L39" i="4"/>
  <c r="L47" i="4"/>
  <c r="N47" i="4" s="1"/>
  <c r="O47" i="4" s="1"/>
  <c r="N41" i="4"/>
  <c r="N43" i="4"/>
  <c r="D31" i="4"/>
  <c r="E31" i="4"/>
  <c r="D37" i="4"/>
  <c r="E37" i="4"/>
  <c r="F37" i="4"/>
  <c r="H37" i="4"/>
  <c r="I37" i="4"/>
  <c r="K37" i="4"/>
  <c r="L37" i="4"/>
  <c r="O43" i="4"/>
  <c r="O61" i="4" s="1"/>
  <c r="D48" i="4"/>
  <c r="E48" i="4"/>
  <c r="G48" i="4"/>
  <c r="D59" i="4"/>
  <c r="D70" i="4" s="1"/>
  <c r="E59" i="4"/>
  <c r="F59" i="4"/>
  <c r="G59" i="4"/>
  <c r="H59" i="4"/>
  <c r="I59" i="4"/>
  <c r="J59" i="4"/>
  <c r="K59" i="4"/>
  <c r="D60" i="4"/>
  <c r="E60" i="4"/>
  <c r="F60" i="4"/>
  <c r="H60" i="4"/>
  <c r="I60" i="4"/>
  <c r="J60" i="4"/>
  <c r="L60" i="4"/>
  <c r="D61" i="4"/>
  <c r="E61" i="4"/>
  <c r="F61" i="4"/>
  <c r="G61" i="4"/>
  <c r="H61" i="4"/>
  <c r="I61" i="4"/>
  <c r="J61" i="4"/>
  <c r="K61" i="4"/>
  <c r="L61" i="4"/>
  <c r="M61" i="4"/>
  <c r="N61" i="4"/>
  <c r="D62" i="4"/>
  <c r="E62" i="4"/>
  <c r="F62" i="4"/>
  <c r="G62" i="4"/>
  <c r="H62" i="4"/>
  <c r="I62" i="4"/>
  <c r="J62" i="4"/>
  <c r="K62" i="4"/>
  <c r="L62" i="4"/>
  <c r="D63" i="4"/>
  <c r="E63" i="4"/>
  <c r="F63" i="4"/>
  <c r="H63" i="4"/>
  <c r="H70" i="4" s="1"/>
  <c r="I63" i="4"/>
  <c r="J63" i="4"/>
  <c r="K63" i="4"/>
  <c r="L63" i="4"/>
  <c r="D64" i="4"/>
  <c r="E64" i="4"/>
  <c r="F64" i="4"/>
  <c r="H64" i="4"/>
  <c r="I64" i="4"/>
  <c r="J64" i="4"/>
  <c r="K64" i="4"/>
  <c r="L64" i="4"/>
  <c r="M64" i="4"/>
  <c r="D65" i="4"/>
  <c r="E65" i="4"/>
  <c r="H65" i="4"/>
  <c r="K65" i="4"/>
  <c r="L65" i="4"/>
  <c r="M65" i="4"/>
  <c r="D66" i="4"/>
  <c r="E66" i="4"/>
  <c r="H66" i="4"/>
  <c r="K66" i="4"/>
  <c r="L66" i="4"/>
  <c r="M66" i="4"/>
  <c r="D67" i="4"/>
  <c r="E67" i="4"/>
  <c r="F67" i="4"/>
  <c r="H67" i="4"/>
  <c r="K67" i="4"/>
  <c r="L67" i="4"/>
  <c r="M67" i="4"/>
  <c r="D68" i="4"/>
  <c r="E68" i="4"/>
  <c r="F68" i="4"/>
  <c r="H68" i="4"/>
  <c r="K68" i="4"/>
  <c r="L68" i="4"/>
  <c r="M68" i="4"/>
  <c r="D69" i="4"/>
  <c r="E69" i="4"/>
  <c r="F69" i="4"/>
  <c r="H69" i="4"/>
  <c r="K69" i="4"/>
  <c r="L69" i="4"/>
  <c r="M69" i="4"/>
  <c r="E70" i="4"/>
  <c r="K46" i="1"/>
  <c r="N46" i="1" s="1"/>
  <c r="O46" i="1" s="1"/>
  <c r="K44" i="1"/>
  <c r="M36" i="1"/>
  <c r="M62" i="1" s="1"/>
  <c r="M34" i="1"/>
  <c r="N34" i="1" s="1"/>
  <c r="O34" i="1" s="1"/>
  <c r="O64" i="1" s="1"/>
  <c r="M47" i="1"/>
  <c r="M46" i="1"/>
  <c r="M44" i="1"/>
  <c r="M48" i="1" s="1"/>
  <c r="M43" i="1"/>
  <c r="N43" i="1" s="1"/>
  <c r="M41" i="1"/>
  <c r="M39" i="1"/>
  <c r="G37" i="1"/>
  <c r="I33" i="1"/>
  <c r="M33" i="1" s="1"/>
  <c r="F25" i="1"/>
  <c r="F68" i="1" s="1"/>
  <c r="E26" i="1"/>
  <c r="F28" i="1"/>
  <c r="G28" i="1" s="1"/>
  <c r="G66" i="1" s="1"/>
  <c r="F29" i="1"/>
  <c r="G29" i="1" s="1"/>
  <c r="F30" i="1"/>
  <c r="G30" i="1" s="1"/>
  <c r="L39" i="1"/>
  <c r="N39" i="1" s="1"/>
  <c r="O39" i="1" s="1"/>
  <c r="L47" i="1"/>
  <c r="M69" i="1"/>
  <c r="L69" i="1"/>
  <c r="K69" i="1"/>
  <c r="H69" i="1"/>
  <c r="D69" i="1"/>
  <c r="M68" i="1"/>
  <c r="L68" i="1"/>
  <c r="K68" i="1"/>
  <c r="H68" i="1"/>
  <c r="E68" i="1"/>
  <c r="D68" i="1"/>
  <c r="M67" i="1"/>
  <c r="L67" i="1"/>
  <c r="K67" i="1"/>
  <c r="H67" i="1"/>
  <c r="E67" i="1"/>
  <c r="D67" i="1"/>
  <c r="M66" i="1"/>
  <c r="L66" i="1"/>
  <c r="K66" i="1"/>
  <c r="H66" i="1"/>
  <c r="E66" i="1"/>
  <c r="D66" i="1"/>
  <c r="M65" i="1"/>
  <c r="L65" i="1"/>
  <c r="K65" i="1"/>
  <c r="H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M61" i="1"/>
  <c r="L61" i="1"/>
  <c r="K61" i="1"/>
  <c r="J61" i="1"/>
  <c r="I61" i="1"/>
  <c r="H61" i="1"/>
  <c r="G61" i="1"/>
  <c r="F61" i="1"/>
  <c r="E61" i="1"/>
  <c r="D61" i="1"/>
  <c r="L60" i="1"/>
  <c r="J60" i="1"/>
  <c r="I60" i="1"/>
  <c r="H60" i="1"/>
  <c r="G60" i="1"/>
  <c r="F60" i="1"/>
  <c r="E60" i="1"/>
  <c r="D60" i="1"/>
  <c r="M59" i="1"/>
  <c r="J59" i="1"/>
  <c r="I59" i="1"/>
  <c r="H59" i="1"/>
  <c r="H70" i="1" s="1"/>
  <c r="G59" i="1"/>
  <c r="F59" i="1"/>
  <c r="E59" i="1"/>
  <c r="D59" i="1"/>
  <c r="G48" i="1"/>
  <c r="E48" i="1"/>
  <c r="D48" i="1"/>
  <c r="D31" i="1"/>
  <c r="D37" i="1"/>
  <c r="K59" i="1"/>
  <c r="K37" i="1"/>
  <c r="L37" i="1"/>
  <c r="I37" i="1"/>
  <c r="H37" i="1"/>
  <c r="F37" i="1"/>
  <c r="E37" i="1"/>
  <c r="F65" i="1"/>
  <c r="F67" i="1"/>
  <c r="F66" i="1"/>
  <c r="N64" i="1"/>
  <c r="N61" i="1" l="1"/>
  <c r="O43" i="1"/>
  <c r="O61" i="1" s="1"/>
  <c r="J29" i="1"/>
  <c r="J67" i="1" s="1"/>
  <c r="G67" i="1"/>
  <c r="N33" i="1"/>
  <c r="M37" i="1"/>
  <c r="M49" i="1" s="1"/>
  <c r="M63" i="1"/>
  <c r="J30" i="1"/>
  <c r="J65" i="1" s="1"/>
  <c r="I30" i="1"/>
  <c r="I65" i="1" s="1"/>
  <c r="G65" i="1"/>
  <c r="G68" i="4"/>
  <c r="J68" i="4"/>
  <c r="M59" i="4"/>
  <c r="N64" i="4"/>
  <c r="G26" i="4"/>
  <c r="G69" i="4" s="1"/>
  <c r="E70" i="5"/>
  <c r="J30" i="5"/>
  <c r="J65" i="5" s="1"/>
  <c r="J28" i="5"/>
  <c r="J66" i="5" s="1"/>
  <c r="M60" i="4"/>
  <c r="I63" i="1"/>
  <c r="D49" i="1"/>
  <c r="N36" i="1"/>
  <c r="G63" i="4"/>
  <c r="G37" i="4"/>
  <c r="O36" i="4"/>
  <c r="O62" i="4" s="1"/>
  <c r="N46" i="4"/>
  <c r="O46" i="4" s="1"/>
  <c r="K70" i="5"/>
  <c r="G59" i="5"/>
  <c r="M44" i="4"/>
  <c r="D70" i="1"/>
  <c r="G64" i="4"/>
  <c r="D49" i="4"/>
  <c r="M33" i="4"/>
  <c r="E31" i="5"/>
  <c r="E49" i="5" s="1"/>
  <c r="E49" i="4"/>
  <c r="N30" i="1"/>
  <c r="F26" i="1"/>
  <c r="F69" i="1" s="1"/>
  <c r="F70" i="1" s="1"/>
  <c r="E31" i="1"/>
  <c r="E49" i="1" s="1"/>
  <c r="E69" i="1"/>
  <c r="E70" i="1" s="1"/>
  <c r="N44" i="1"/>
  <c r="O44" i="1" s="1"/>
  <c r="K48" i="1"/>
  <c r="K49" i="1" s="1"/>
  <c r="K60" i="1"/>
  <c r="K70" i="1" s="1"/>
  <c r="N4" i="4"/>
  <c r="N44" i="4"/>
  <c r="O44" i="4" s="1"/>
  <c r="K48" i="4"/>
  <c r="I29" i="4"/>
  <c r="I67" i="4" s="1"/>
  <c r="J29" i="4"/>
  <c r="J67" i="4" s="1"/>
  <c r="N37" i="1"/>
  <c r="I29" i="1"/>
  <c r="M64" i="1"/>
  <c r="N47" i="1"/>
  <c r="O47" i="1" s="1"/>
  <c r="O59" i="1" s="1"/>
  <c r="L59" i="1"/>
  <c r="L70" i="1" s="1"/>
  <c r="L48" i="1"/>
  <c r="L49" i="1" s="1"/>
  <c r="I28" i="1"/>
  <c r="I66" i="1" s="1"/>
  <c r="J28" i="1"/>
  <c r="J66" i="1" s="1"/>
  <c r="G26" i="1"/>
  <c r="G25" i="1"/>
  <c r="F31" i="1"/>
  <c r="F49" i="1" s="1"/>
  <c r="N63" i="1"/>
  <c r="O33" i="1"/>
  <c r="N41" i="1"/>
  <c r="M60" i="1"/>
  <c r="K60" i="4"/>
  <c r="K70" i="4" s="1"/>
  <c r="L48" i="4"/>
  <c r="L49" i="4" s="1"/>
  <c r="O41" i="4"/>
  <c r="N39" i="4"/>
  <c r="L59" i="4"/>
  <c r="L70" i="4" s="1"/>
  <c r="G30" i="4"/>
  <c r="F65" i="4"/>
  <c r="G28" i="4"/>
  <c r="F31" i="4"/>
  <c r="F49" i="4" s="1"/>
  <c r="F66" i="4"/>
  <c r="M48" i="4"/>
  <c r="M43" i="5"/>
  <c r="M61" i="5" s="1"/>
  <c r="N43" i="5"/>
  <c r="N39" i="5"/>
  <c r="L59" i="5"/>
  <c r="L70" i="5" s="1"/>
  <c r="M34" i="5"/>
  <c r="M64" i="5" s="1"/>
  <c r="N34" i="5"/>
  <c r="I25" i="4"/>
  <c r="M63" i="5"/>
  <c r="G61" i="5"/>
  <c r="M59" i="5"/>
  <c r="G48" i="5"/>
  <c r="D49" i="5"/>
  <c r="N46" i="5"/>
  <c r="O46" i="5" s="1"/>
  <c r="K48" i="5"/>
  <c r="N33" i="5"/>
  <c r="I30" i="5"/>
  <c r="I65" i="5" s="1"/>
  <c r="G29" i="5"/>
  <c r="F67" i="5"/>
  <c r="I28" i="5"/>
  <c r="I66" i="5" s="1"/>
  <c r="G26" i="5"/>
  <c r="F69" i="5"/>
  <c r="G25" i="5"/>
  <c r="F68" i="5"/>
  <c r="M36" i="5"/>
  <c r="M62" i="5" s="1"/>
  <c r="M41" i="5"/>
  <c r="M60" i="5" s="1"/>
  <c r="J26" i="4" l="1"/>
  <c r="J69" i="4" s="1"/>
  <c r="M70" i="1"/>
  <c r="N26" i="4"/>
  <c r="O26" i="4" s="1"/>
  <c r="O69" i="4" s="1"/>
  <c r="M37" i="4"/>
  <c r="M49" i="4" s="1"/>
  <c r="M63" i="4"/>
  <c r="M70" i="4" s="1"/>
  <c r="N4" i="1"/>
  <c r="C4" i="1"/>
  <c r="O36" i="1"/>
  <c r="O62" i="1" s="1"/>
  <c r="N62" i="1"/>
  <c r="F70" i="4"/>
  <c r="O60" i="4"/>
  <c r="I26" i="4"/>
  <c r="I69" i="4" s="1"/>
  <c r="N33" i="4"/>
  <c r="J25" i="5"/>
  <c r="G31" i="5"/>
  <c r="G49" i="5" s="1"/>
  <c r="G68" i="5"/>
  <c r="I25" i="5"/>
  <c r="J26" i="5"/>
  <c r="J69" i="5" s="1"/>
  <c r="N26" i="5"/>
  <c r="I26" i="5"/>
  <c r="I69" i="5" s="1"/>
  <c r="G69" i="5"/>
  <c r="J29" i="5"/>
  <c r="J67" i="5" s="1"/>
  <c r="N29" i="5"/>
  <c r="I29" i="5"/>
  <c r="I67" i="5" s="1"/>
  <c r="G67" i="5"/>
  <c r="G70" i="5" s="1"/>
  <c r="N36" i="5"/>
  <c r="N51" i="5"/>
  <c r="K49" i="5"/>
  <c r="N4" i="5"/>
  <c r="C4" i="5"/>
  <c r="M70" i="5"/>
  <c r="I68" i="4"/>
  <c r="N64" i="5"/>
  <c r="O34" i="5"/>
  <c r="O64" i="5" s="1"/>
  <c r="O43" i="5"/>
  <c r="O61" i="5" s="1"/>
  <c r="N61" i="5"/>
  <c r="N59" i="4"/>
  <c r="N48" i="4"/>
  <c r="O39" i="4"/>
  <c r="O63" i="1"/>
  <c r="I26" i="1"/>
  <c r="I69" i="1" s="1"/>
  <c r="G69" i="1"/>
  <c r="J26" i="1"/>
  <c r="J69" i="1" s="1"/>
  <c r="I67" i="1"/>
  <c r="N29" i="1"/>
  <c r="N28" i="5"/>
  <c r="F70" i="5"/>
  <c r="N30" i="5"/>
  <c r="O33" i="5"/>
  <c r="N63" i="5"/>
  <c r="N37" i="5"/>
  <c r="N41" i="5"/>
  <c r="N25" i="4"/>
  <c r="M48" i="5"/>
  <c r="M37" i="5"/>
  <c r="M49" i="5" s="1"/>
  <c r="N48" i="5"/>
  <c r="O39" i="5"/>
  <c r="N59" i="5"/>
  <c r="J28" i="4"/>
  <c r="N28" i="4" s="1"/>
  <c r="I28" i="4"/>
  <c r="I66" i="4" s="1"/>
  <c r="G31" i="4"/>
  <c r="G49" i="4" s="1"/>
  <c r="G66" i="4"/>
  <c r="J30" i="4"/>
  <c r="J65" i="4" s="1"/>
  <c r="I30" i="4"/>
  <c r="I65" i="4" s="1"/>
  <c r="I70" i="4" s="1"/>
  <c r="G65" i="4"/>
  <c r="N30" i="4"/>
  <c r="N60" i="4"/>
  <c r="O41" i="1"/>
  <c r="N60" i="1"/>
  <c r="N48" i="1"/>
  <c r="J25" i="1"/>
  <c r="G31" i="1"/>
  <c r="G49" i="1" s="1"/>
  <c r="I25" i="1"/>
  <c r="G68" i="1"/>
  <c r="G70" i="1" s="1"/>
  <c r="N28" i="1"/>
  <c r="N59" i="1"/>
  <c r="N29" i="4"/>
  <c r="K49" i="4"/>
  <c r="O30" i="1"/>
  <c r="O65" i="1" s="1"/>
  <c r="N65" i="1"/>
  <c r="N69" i="4" l="1"/>
  <c r="O37" i="1"/>
  <c r="O33" i="4"/>
  <c r="N37" i="4"/>
  <c r="N63" i="4"/>
  <c r="N26" i="1"/>
  <c r="O26" i="1" s="1"/>
  <c r="O69" i="1" s="1"/>
  <c r="O29" i="4"/>
  <c r="O67" i="4" s="1"/>
  <c r="N67" i="4"/>
  <c r="O28" i="1"/>
  <c r="O66" i="1" s="1"/>
  <c r="N66" i="1"/>
  <c r="I68" i="1"/>
  <c r="I70" i="1" s="1"/>
  <c r="I31" i="1"/>
  <c r="I49" i="1" s="1"/>
  <c r="O60" i="1"/>
  <c r="O48" i="1"/>
  <c r="N65" i="4"/>
  <c r="N70" i="4" s="1"/>
  <c r="O30" i="4"/>
  <c r="O65" i="4" s="1"/>
  <c r="N66" i="4"/>
  <c r="O28" i="4"/>
  <c r="O66" i="4" s="1"/>
  <c r="J66" i="4"/>
  <c r="J31" i="4"/>
  <c r="J49" i="4" s="1"/>
  <c r="O59" i="5"/>
  <c r="N31" i="4"/>
  <c r="N68" i="4"/>
  <c r="O25" i="4"/>
  <c r="O63" i="5"/>
  <c r="O29" i="1"/>
  <c r="O67" i="1" s="1"/>
  <c r="N67" i="1"/>
  <c r="N69" i="1"/>
  <c r="N67" i="5"/>
  <c r="O29" i="5"/>
  <c r="O67" i="5" s="1"/>
  <c r="N69" i="5"/>
  <c r="O26" i="5"/>
  <c r="O69" i="5" s="1"/>
  <c r="I68" i="5"/>
  <c r="I70" i="5" s="1"/>
  <c r="I31" i="5"/>
  <c r="I49" i="5" s="1"/>
  <c r="N25" i="5"/>
  <c r="J31" i="5"/>
  <c r="J49" i="5" s="1"/>
  <c r="J68" i="5"/>
  <c r="J70" i="5" s="1"/>
  <c r="N25" i="1"/>
  <c r="J68" i="1"/>
  <c r="J70" i="1" s="1"/>
  <c r="J31" i="1"/>
  <c r="J49" i="1" s="1"/>
  <c r="G70" i="4"/>
  <c r="J70" i="4"/>
  <c r="O41" i="5"/>
  <c r="O60" i="5" s="1"/>
  <c r="N60" i="5"/>
  <c r="O30" i="5"/>
  <c r="O65" i="5" s="1"/>
  <c r="N65" i="5"/>
  <c r="O28" i="5"/>
  <c r="O66" i="5" s="1"/>
  <c r="N66" i="5"/>
  <c r="O59" i="4"/>
  <c r="O48" i="4"/>
  <c r="I31" i="4"/>
  <c r="I49" i="4" s="1"/>
  <c r="N62" i="5"/>
  <c r="O36" i="5"/>
  <c r="O62" i="5" s="1"/>
  <c r="O63" i="4" l="1"/>
  <c r="O37" i="4"/>
  <c r="N49" i="4"/>
  <c r="N6" i="4" s="1"/>
  <c r="O37" i="5"/>
  <c r="N31" i="1"/>
  <c r="N49" i="1" s="1"/>
  <c r="N6" i="1" s="1"/>
  <c r="C6" i="1" s="1"/>
  <c r="N68" i="1"/>
  <c r="N70" i="1" s="1"/>
  <c r="O25" i="1"/>
  <c r="O25" i="5"/>
  <c r="N68" i="5"/>
  <c r="N70" i="5" s="1"/>
  <c r="N31" i="5"/>
  <c r="N49" i="5" s="1"/>
  <c r="N6" i="5" s="1"/>
  <c r="C6" i="5" s="1"/>
  <c r="O31" i="4"/>
  <c r="O49" i="4" s="1"/>
  <c r="O68" i="4"/>
  <c r="O70" i="4" s="1"/>
  <c r="O48" i="5"/>
  <c r="O68" i="1" l="1"/>
  <c r="O70" i="1" s="1"/>
  <c r="O31" i="1"/>
  <c r="O49" i="1" s="1"/>
  <c r="O31" i="5"/>
  <c r="O49" i="5" s="1"/>
  <c r="O68" i="5"/>
  <c r="O70" i="5" s="1"/>
</calcChain>
</file>

<file path=xl/sharedStrings.xml><?xml version="1.0" encoding="utf-8"?>
<sst xmlns="http://schemas.openxmlformats.org/spreadsheetml/2006/main" count="210" uniqueCount="77">
  <si>
    <t>ПОГОДЖЕНО:</t>
  </si>
  <si>
    <t>ЗАТВЕРДЖУЮ:</t>
  </si>
  <si>
    <t xml:space="preserve">Штат  в кількості   </t>
  </si>
  <si>
    <t>Штатних одиниць з місячним фондом</t>
  </si>
  <si>
    <t>заробітньої плати</t>
  </si>
  <si>
    <t xml:space="preserve">  Ш Т А Т Н И Й    Р О З П И С</t>
  </si>
  <si>
    <t>№</t>
  </si>
  <si>
    <t>Назва структурного підрозділу, посада</t>
  </si>
  <si>
    <t>Тарифний розряд</t>
  </si>
  <si>
    <t>К-сть штатних одиниць</t>
  </si>
  <si>
    <t>Посадовий оклад</t>
  </si>
  <si>
    <t>Постанова КМУ (10%)</t>
  </si>
  <si>
    <t>Разом з підвищенням</t>
  </si>
  <si>
    <t xml:space="preserve"> Надбавки</t>
  </si>
  <si>
    <t>Доплати</t>
  </si>
  <si>
    <t>Допл.до мінім.</t>
  </si>
  <si>
    <t>Місячний фонд оплати праці</t>
  </si>
  <si>
    <t>Річний фонд оплати праці</t>
  </si>
  <si>
    <t>п/п</t>
  </si>
  <si>
    <t>вислуга років</t>
  </si>
  <si>
    <t>Престиж.          Пост.373</t>
  </si>
  <si>
    <t>нічні</t>
  </si>
  <si>
    <t>використання деззасобів</t>
  </si>
  <si>
    <t>%</t>
  </si>
  <si>
    <t>сума</t>
  </si>
  <si>
    <t>години</t>
  </si>
  <si>
    <t>ПЕДПРАЦІВНИКИ</t>
  </si>
  <si>
    <t>1.</t>
  </si>
  <si>
    <t>Директор</t>
  </si>
  <si>
    <t>2.</t>
  </si>
  <si>
    <t>3.</t>
  </si>
  <si>
    <t>Практичний психолог</t>
  </si>
  <si>
    <t>4.</t>
  </si>
  <si>
    <t>Педагог-організатор</t>
  </si>
  <si>
    <t>Керівник гуртка</t>
  </si>
  <si>
    <t>Всього:</t>
  </si>
  <si>
    <t>СПЕЦІАЛІСТИ</t>
  </si>
  <si>
    <t>Завідувач</t>
  </si>
  <si>
    <t>господарством</t>
  </si>
  <si>
    <t>Секретар-друкарка</t>
  </si>
  <si>
    <t>РОБІТНИКИ</t>
  </si>
  <si>
    <t>Машиніст (кочегар) котельні</t>
  </si>
  <si>
    <t>(сезон - 3ст)</t>
  </si>
  <si>
    <t>Сторож</t>
  </si>
  <si>
    <t>Двірник</t>
  </si>
  <si>
    <t>Разом:</t>
  </si>
  <si>
    <t>заст.</t>
  </si>
  <si>
    <t>Бухгалтер</t>
  </si>
  <si>
    <t>Галина ТЕЛЕГУЗ</t>
  </si>
  <si>
    <t>Галина СИНЯКЕВИЧ</t>
  </si>
  <si>
    <t>Економіст</t>
  </si>
  <si>
    <t>станом на 01.09.2020 року</t>
  </si>
  <si>
    <t>Іван СЛАВІНСЬКИЙ</t>
  </si>
  <si>
    <t>навчально-виховній  роботі</t>
  </si>
  <si>
    <t>Наказ від 01.09.20 № 01-06/25-а/г</t>
  </si>
  <si>
    <t>Заступник директора по</t>
  </si>
  <si>
    <t>Прибиральник службових приміщень</t>
  </si>
  <si>
    <t>Робітник з комплексного обслуговування і ремонту будівель</t>
  </si>
  <si>
    <t>від 17.09.20 року № 816</t>
  </si>
  <si>
    <t>Рішенням Березнівської районної ради</t>
  </si>
  <si>
    <t>Директор школи</t>
  </si>
  <si>
    <t>Сестра медична</t>
  </si>
  <si>
    <t xml:space="preserve"> Голубнівська ЗОШ І-ІІІ ступенів</t>
  </si>
  <si>
    <t>станом на 01.07.2021 року</t>
  </si>
  <si>
    <t>Наказ відділу освіти, молоді та спорту</t>
  </si>
  <si>
    <t>Головний бухгалтер</t>
  </si>
  <si>
    <t>Марина СТАСЮК</t>
  </si>
  <si>
    <t>Престижність  Постанова КМУ №373</t>
  </si>
  <si>
    <t>Доплата до мінімальної</t>
  </si>
  <si>
    <t>Постанова КМУ №  (10%)</t>
  </si>
  <si>
    <t>П О Г О Д Ж Е Н О</t>
  </si>
  <si>
    <t>З А Т В Е Р Д Ж У Ю</t>
  </si>
  <si>
    <t>штатних одиниць з місячним фондом</t>
  </si>
  <si>
    <t>на 2021 рік</t>
  </si>
  <si>
    <t xml:space="preserve"> Голубнівської загальноосвтньої школи І-ІІІ ступенів</t>
  </si>
  <si>
    <t>Березнівської міської ради від 20 січня 2021 року №5</t>
  </si>
  <si>
    <t>Іван СЛАВИНСЬКИЙ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</si>
</sst>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24"/>
      <color indexed="8"/>
      <name val="Arial Cyr"/>
      <family val="2"/>
      <charset val="204"/>
    </font>
    <font>
      <b/>
      <sz val="24"/>
      <color indexed="8"/>
      <name val="Arial Cyr"/>
      <charset val="204"/>
    </font>
    <font>
      <b/>
      <sz val="28"/>
      <color indexed="8"/>
      <name val="Arial Cyr"/>
      <family val="2"/>
      <charset val="204"/>
    </font>
    <font>
      <sz val="28"/>
      <color indexed="8"/>
      <name val="Calibri"/>
      <family val="2"/>
      <charset val="204"/>
    </font>
    <font>
      <sz val="28"/>
      <color indexed="8"/>
      <name val="Arial Cyr"/>
      <family val="2"/>
      <charset val="204"/>
    </font>
    <font>
      <b/>
      <sz val="36"/>
      <color indexed="8"/>
      <name val="Arial Cyr"/>
      <family val="2"/>
      <charset val="204"/>
    </font>
    <font>
      <sz val="36"/>
      <color indexed="8"/>
      <name val="Calibri"/>
      <family val="2"/>
      <charset val="204"/>
    </font>
    <font>
      <sz val="36"/>
      <name val="Arial Cyr"/>
      <family val="2"/>
      <charset val="204"/>
    </font>
    <font>
      <sz val="36"/>
      <color indexed="8"/>
      <name val="Arial Cyr"/>
      <family val="2"/>
      <charset val="204"/>
    </font>
    <font>
      <b/>
      <sz val="36"/>
      <color indexed="8"/>
      <name val="Arial Cyr"/>
      <charset val="204"/>
    </font>
    <font>
      <b/>
      <u/>
      <sz val="36"/>
      <color indexed="8"/>
      <name val="Arial Cyr"/>
      <family val="2"/>
      <charset val="204"/>
    </font>
    <font>
      <b/>
      <sz val="36"/>
      <color indexed="8"/>
      <name val="Calibri"/>
      <family val="2"/>
      <charset val="204"/>
    </font>
    <font>
      <sz val="36"/>
      <color indexed="8"/>
      <name val="Arial Cyr"/>
      <charset val="204"/>
    </font>
    <font>
      <b/>
      <sz val="48"/>
      <color indexed="8"/>
      <name val="Arial Cyr"/>
      <family val="2"/>
      <charset val="204"/>
    </font>
    <font>
      <sz val="48"/>
      <color indexed="8"/>
      <name val="Calibri"/>
      <family val="2"/>
      <charset val="204"/>
    </font>
    <font>
      <b/>
      <u/>
      <sz val="48"/>
      <color indexed="8"/>
      <name val="Arial Cyr"/>
      <family val="2"/>
      <charset val="204"/>
    </font>
    <font>
      <sz val="48"/>
      <color indexed="8"/>
      <name val="Arial Cyr"/>
      <family val="2"/>
      <charset val="204"/>
    </font>
    <font>
      <u/>
      <sz val="48"/>
      <color indexed="8"/>
      <name val="Arial Cyr"/>
      <family val="2"/>
      <charset val="204"/>
    </font>
    <font>
      <sz val="48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Border="1"/>
    <xf numFmtId="0" fontId="9" fillId="2" borderId="3" xfId="0" applyFont="1" applyFill="1" applyBorder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2" borderId="8" xfId="0" applyFont="1" applyFill="1" applyBorder="1"/>
    <xf numFmtId="9" fontId="9" fillId="2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9" xfId="0" applyFont="1" applyFill="1" applyBorder="1"/>
    <xf numFmtId="0" fontId="9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3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0" xfId="0" applyFont="1" applyFill="1"/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6" fillId="4" borderId="3" xfId="0" applyFont="1" applyFill="1" applyBorder="1"/>
    <xf numFmtId="0" fontId="9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10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2" fontId="17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7" fillId="6" borderId="0" xfId="0" applyFont="1" applyFill="1"/>
    <xf numFmtId="0" fontId="9" fillId="7" borderId="1" xfId="0" applyFont="1" applyFill="1" applyBorder="1" applyAlignment="1">
      <alignment horizontal="center"/>
    </xf>
    <xf numFmtId="0" fontId="6" fillId="7" borderId="3" xfId="0" applyFont="1" applyFill="1" applyBorder="1"/>
    <xf numFmtId="0" fontId="10" fillId="7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7" fillId="7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6" fillId="5" borderId="0" xfId="0" applyFont="1" applyFill="1" applyAlignment="1">
      <alignment horizontal="center"/>
    </xf>
    <xf numFmtId="0" fontId="1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/>
    <xf numFmtId="0" fontId="19" fillId="0" borderId="0" xfId="0" applyFont="1" applyAlignment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6" borderId="0" xfId="0" applyFont="1" applyFill="1" applyAlignment="1">
      <alignment horizontal="center"/>
    </xf>
    <xf numFmtId="0" fontId="15" fillId="6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topLeftCell="A4" zoomScale="25" zoomScaleNormal="47" workbookViewId="0">
      <selection activeCell="K23" sqref="K23"/>
    </sheetView>
  </sheetViews>
  <sheetFormatPr defaultRowHeight="15" x14ac:dyDescent="0.25"/>
  <cols>
    <col min="2" max="2" width="97.140625" customWidth="1"/>
    <col min="3" max="3" width="33.85546875" customWidth="1"/>
    <col min="4" max="4" width="34.7109375" customWidth="1"/>
    <col min="5" max="5" width="46.42578125" customWidth="1"/>
    <col min="6" max="7" width="35" customWidth="1"/>
    <col min="8" max="9" width="28.7109375" customWidth="1"/>
    <col min="10" max="10" width="40.7109375" customWidth="1"/>
    <col min="11" max="11" width="29.85546875" customWidth="1"/>
    <col min="12" max="12" width="28.28515625" customWidth="1"/>
    <col min="13" max="13" width="44.28515625" customWidth="1"/>
    <col min="14" max="14" width="63.7109375" customWidth="1"/>
    <col min="15" max="15" width="55.42578125" hidden="1" customWidth="1"/>
  </cols>
  <sheetData>
    <row r="1" spans="1:15" s="14" customFormat="1" ht="46.5" x14ac:dyDescent="0.7">
      <c r="A1" s="45"/>
      <c r="B1" s="4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8"/>
    </row>
    <row r="2" spans="1:15" s="14" customFormat="1" ht="46.5" x14ac:dyDescent="0.7">
      <c r="A2" s="47"/>
      <c r="B2" s="46" t="s">
        <v>0</v>
      </c>
      <c r="C2" s="45"/>
      <c r="D2" s="45"/>
      <c r="E2" s="45"/>
      <c r="F2" s="45"/>
      <c r="G2" s="45"/>
      <c r="H2" s="45"/>
      <c r="I2" s="47"/>
      <c r="J2" s="47"/>
      <c r="K2" s="47" t="s">
        <v>1</v>
      </c>
      <c r="L2" s="47"/>
      <c r="M2" s="47"/>
      <c r="N2" s="47"/>
      <c r="O2" s="48"/>
    </row>
    <row r="3" spans="1:15" s="14" customFormat="1" ht="46.5" x14ac:dyDescent="0.7">
      <c r="A3" s="45"/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8"/>
    </row>
    <row r="4" spans="1:15" s="14" customFormat="1" ht="46.5" x14ac:dyDescent="0.7">
      <c r="A4" s="125" t="s">
        <v>2</v>
      </c>
      <c r="B4" s="125"/>
      <c r="C4" s="45">
        <f>D49</f>
        <v>14</v>
      </c>
      <c r="D4" s="45"/>
      <c r="E4" s="45"/>
      <c r="F4" s="45"/>
      <c r="G4" s="45"/>
      <c r="H4" s="45"/>
      <c r="I4" s="126" t="s">
        <v>2</v>
      </c>
      <c r="J4" s="126"/>
      <c r="K4" s="126"/>
      <c r="L4" s="126"/>
      <c r="M4" s="52"/>
      <c r="N4" s="45">
        <f>D49</f>
        <v>14</v>
      </c>
      <c r="O4" s="45"/>
    </row>
    <row r="5" spans="1:15" s="14" customFormat="1" ht="46.5" x14ac:dyDescent="0.7">
      <c r="A5" s="126" t="s">
        <v>3</v>
      </c>
      <c r="B5" s="127"/>
      <c r="C5" s="127"/>
      <c r="D5" s="127"/>
      <c r="E5" s="45"/>
      <c r="F5" s="45"/>
      <c r="G5" s="45"/>
      <c r="H5" s="45"/>
      <c r="I5" s="48" t="s">
        <v>3</v>
      </c>
      <c r="J5" s="48"/>
      <c r="K5" s="52"/>
      <c r="L5" s="52"/>
      <c r="M5" s="52"/>
      <c r="N5" s="45"/>
      <c r="O5" s="45"/>
    </row>
    <row r="6" spans="1:15" s="14" customFormat="1" ht="46.5" x14ac:dyDescent="0.7">
      <c r="A6" s="125" t="s">
        <v>4</v>
      </c>
      <c r="B6" s="125"/>
      <c r="C6" s="53">
        <f>N6</f>
        <v>90425.541992805753</v>
      </c>
      <c r="D6" s="45"/>
      <c r="E6" s="45"/>
      <c r="F6" s="45"/>
      <c r="G6" s="45"/>
      <c r="H6" s="45"/>
      <c r="I6" s="126" t="s">
        <v>4</v>
      </c>
      <c r="J6" s="126"/>
      <c r="K6" s="126"/>
      <c r="L6" s="126"/>
      <c r="M6" s="52"/>
      <c r="N6" s="53">
        <f>N49</f>
        <v>90425.541992805753</v>
      </c>
      <c r="O6" s="45"/>
    </row>
    <row r="7" spans="1:15" s="14" customFormat="1" ht="46.5" x14ac:dyDescent="0.7">
      <c r="A7" s="45"/>
      <c r="B7" s="48"/>
      <c r="C7" s="45"/>
      <c r="D7" s="45"/>
      <c r="E7" s="45"/>
      <c r="F7" s="45"/>
      <c r="G7" s="45"/>
      <c r="H7" s="45"/>
      <c r="I7" s="52"/>
      <c r="J7" s="52"/>
      <c r="K7" s="52"/>
      <c r="L7" s="52"/>
      <c r="M7" s="52"/>
      <c r="N7" s="52"/>
      <c r="O7" s="45"/>
    </row>
    <row r="8" spans="1:15" s="14" customFormat="1" ht="46.5" x14ac:dyDescent="0.7">
      <c r="A8" s="45"/>
      <c r="B8" s="73"/>
      <c r="C8" s="45"/>
      <c r="D8" s="45"/>
      <c r="E8" s="45"/>
      <c r="F8" s="45"/>
      <c r="G8" s="45"/>
      <c r="H8" s="45"/>
      <c r="I8" s="52"/>
      <c r="J8" s="52"/>
      <c r="K8" s="52"/>
      <c r="L8" s="52"/>
      <c r="M8" s="52"/>
      <c r="N8" s="52"/>
      <c r="O8" s="45"/>
    </row>
    <row r="9" spans="1:15" s="14" customFormat="1" ht="46.5" x14ac:dyDescent="0.7">
      <c r="A9" s="121" t="s">
        <v>59</v>
      </c>
      <c r="B9" s="121"/>
      <c r="C9" s="121"/>
      <c r="D9" s="121"/>
      <c r="E9" s="121"/>
      <c r="F9" s="45"/>
      <c r="G9" s="45"/>
      <c r="H9" s="45"/>
      <c r="I9" s="54" t="s">
        <v>60</v>
      </c>
      <c r="J9" s="54"/>
      <c r="K9" s="54"/>
      <c r="L9" s="54"/>
      <c r="M9" s="54"/>
      <c r="N9" s="54"/>
      <c r="O9" s="45"/>
    </row>
    <row r="10" spans="1:15" s="14" customFormat="1" ht="46.5" x14ac:dyDescent="0.7">
      <c r="A10" s="121" t="s">
        <v>58</v>
      </c>
      <c r="B10" s="121"/>
      <c r="C10" s="121"/>
      <c r="D10" s="45"/>
      <c r="E10" s="45"/>
      <c r="F10" s="45"/>
      <c r="G10" s="45"/>
      <c r="H10" s="45"/>
      <c r="I10" s="121"/>
      <c r="J10" s="121"/>
      <c r="K10" s="122"/>
      <c r="L10" s="122"/>
      <c r="M10" s="122"/>
      <c r="N10" s="122"/>
      <c r="O10" s="45"/>
    </row>
    <row r="11" spans="1:15" s="14" customFormat="1" ht="46.5" x14ac:dyDescent="0.7">
      <c r="A11" s="63"/>
      <c r="B11" s="64"/>
      <c r="C11" s="55"/>
      <c r="D11" s="65"/>
      <c r="E11" s="55"/>
      <c r="F11" s="45"/>
      <c r="G11" s="45"/>
      <c r="H11" s="45"/>
      <c r="I11" s="62"/>
      <c r="J11" s="62"/>
      <c r="K11" s="62"/>
      <c r="L11" s="123" t="s">
        <v>52</v>
      </c>
      <c r="M11" s="123"/>
      <c r="N11" s="124"/>
      <c r="O11" s="52"/>
    </row>
    <row r="12" spans="1:15" s="14" customFormat="1" ht="46.5" x14ac:dyDescent="0.7">
      <c r="A12" s="45"/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52"/>
    </row>
    <row r="13" spans="1:15" s="14" customFormat="1" ht="46.5" x14ac:dyDescent="0.7">
      <c r="A13" s="45"/>
      <c r="B13" s="48"/>
      <c r="C13" s="45"/>
      <c r="D13" s="45"/>
      <c r="E13" s="45"/>
      <c r="F13" s="45"/>
      <c r="G13" s="45"/>
      <c r="H13" s="45"/>
      <c r="I13" s="45"/>
      <c r="J13" s="45"/>
      <c r="K13" s="52"/>
      <c r="L13" s="52" t="s">
        <v>54</v>
      </c>
      <c r="M13" s="52"/>
      <c r="N13" s="52"/>
      <c r="O13" s="52"/>
    </row>
    <row r="14" spans="1:15" s="14" customFormat="1" ht="46.5" x14ac:dyDescent="0.7">
      <c r="A14" s="45"/>
      <c r="B14" s="4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52"/>
    </row>
    <row r="15" spans="1:15" s="14" customFormat="1" ht="61.5" x14ac:dyDescent="0.9">
      <c r="A15" s="92" t="s">
        <v>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s="14" customFormat="1" ht="46.5" x14ac:dyDescent="0.7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2"/>
    </row>
    <row r="17" spans="1:15" s="14" customFormat="1" ht="61.5" x14ac:dyDescent="0.9">
      <c r="A17" s="97" t="s">
        <v>62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s="14" customFormat="1" ht="60" x14ac:dyDescent="0.8">
      <c r="A18" s="67"/>
      <c r="B18" s="68"/>
      <c r="C18" s="67"/>
      <c r="D18" s="67"/>
      <c r="E18" s="67"/>
      <c r="F18" s="67"/>
      <c r="G18" s="67"/>
      <c r="H18" s="67"/>
      <c r="I18" s="69"/>
      <c r="J18" s="69"/>
      <c r="K18" s="70"/>
      <c r="L18" s="70"/>
      <c r="M18" s="70"/>
      <c r="N18" s="71"/>
      <c r="O18" s="72"/>
    </row>
    <row r="19" spans="1:15" s="14" customFormat="1" ht="61.5" x14ac:dyDescent="0.9">
      <c r="A19" s="92" t="s">
        <v>51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30.75" thickBot="1" x14ac:dyDescent="0.4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4" customFormat="1" ht="54" customHeight="1" x14ac:dyDescent="0.7">
      <c r="A21" s="12" t="s">
        <v>6</v>
      </c>
      <c r="B21" s="94" t="s">
        <v>7</v>
      </c>
      <c r="C21" s="99" t="s">
        <v>8</v>
      </c>
      <c r="D21" s="99" t="s">
        <v>9</v>
      </c>
      <c r="E21" s="99" t="s">
        <v>10</v>
      </c>
      <c r="F21" s="99" t="s">
        <v>11</v>
      </c>
      <c r="G21" s="99" t="s">
        <v>12</v>
      </c>
      <c r="H21" s="118" t="s">
        <v>13</v>
      </c>
      <c r="I21" s="119"/>
      <c r="J21" s="120"/>
      <c r="K21" s="102" t="s">
        <v>14</v>
      </c>
      <c r="L21" s="103"/>
      <c r="M21" s="115" t="s">
        <v>15</v>
      </c>
      <c r="N21" s="113" t="s">
        <v>16</v>
      </c>
      <c r="O21" s="104" t="s">
        <v>17</v>
      </c>
    </row>
    <row r="22" spans="1:15" s="14" customFormat="1" ht="54" customHeight="1" x14ac:dyDescent="0.7">
      <c r="A22" s="15" t="s">
        <v>18</v>
      </c>
      <c r="B22" s="95"/>
      <c r="C22" s="100"/>
      <c r="D22" s="100"/>
      <c r="E22" s="100"/>
      <c r="F22" s="116"/>
      <c r="G22" s="116"/>
      <c r="H22" s="107" t="s">
        <v>19</v>
      </c>
      <c r="I22" s="108"/>
      <c r="J22" s="109" t="s">
        <v>20</v>
      </c>
      <c r="K22" s="16" t="s">
        <v>21</v>
      </c>
      <c r="L22" s="111" t="s">
        <v>22</v>
      </c>
      <c r="M22" s="114"/>
      <c r="N22" s="114"/>
      <c r="O22" s="105"/>
    </row>
    <row r="23" spans="1:15" s="14" customFormat="1" ht="120" customHeight="1" x14ac:dyDescent="0.7">
      <c r="A23" s="17"/>
      <c r="B23" s="96"/>
      <c r="C23" s="101"/>
      <c r="D23" s="101"/>
      <c r="E23" s="101"/>
      <c r="F23" s="117"/>
      <c r="G23" s="117"/>
      <c r="H23" s="17" t="s">
        <v>23</v>
      </c>
      <c r="I23" s="17" t="s">
        <v>24</v>
      </c>
      <c r="J23" s="110"/>
      <c r="K23" s="18" t="s">
        <v>25</v>
      </c>
      <c r="L23" s="112"/>
      <c r="M23" s="112"/>
      <c r="N23" s="112"/>
      <c r="O23" s="106"/>
    </row>
    <row r="24" spans="1:15" s="14" customFormat="1" ht="54" customHeight="1" x14ac:dyDescent="0.7">
      <c r="A24" s="19"/>
      <c r="B24" s="13" t="s">
        <v>26</v>
      </c>
      <c r="C24" s="19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21"/>
      <c r="O24" s="22"/>
    </row>
    <row r="25" spans="1:15" s="14" customFormat="1" ht="72" customHeight="1" x14ac:dyDescent="0.7">
      <c r="A25" s="19" t="s">
        <v>27</v>
      </c>
      <c r="B25" s="23" t="s">
        <v>28</v>
      </c>
      <c r="C25" s="24">
        <v>16</v>
      </c>
      <c r="D25" s="24">
        <v>1</v>
      </c>
      <c r="E25" s="25">
        <v>6208</v>
      </c>
      <c r="F25" s="25">
        <f>E25*0.1</f>
        <v>620.80000000000007</v>
      </c>
      <c r="G25" s="25">
        <f>E25+F25</f>
        <v>6828.8</v>
      </c>
      <c r="H25" s="24">
        <v>30</v>
      </c>
      <c r="I25" s="25">
        <f>G25*H25/100</f>
        <v>2048.64</v>
      </c>
      <c r="J25" s="25">
        <f>G25*0.3</f>
        <v>2048.64</v>
      </c>
      <c r="K25" s="24"/>
      <c r="L25" s="24"/>
      <c r="M25" s="24"/>
      <c r="N25" s="25">
        <f t="shared" ref="N25:N30" si="0">(G25+I25+K25+L25+J25+M25)*D25</f>
        <v>10926.08</v>
      </c>
      <c r="O25" s="26">
        <f>N25*12</f>
        <v>131112.95999999999</v>
      </c>
    </row>
    <row r="26" spans="1:15" s="14" customFormat="1" ht="72" customHeight="1" x14ac:dyDescent="0.7">
      <c r="A26" s="27" t="s">
        <v>29</v>
      </c>
      <c r="B26" s="28" t="s">
        <v>55</v>
      </c>
      <c r="C26" s="29">
        <v>0.9</v>
      </c>
      <c r="D26" s="24">
        <v>1.5</v>
      </c>
      <c r="E26" s="25">
        <f>E25*0.9</f>
        <v>5587.2</v>
      </c>
      <c r="F26" s="25">
        <f>E26*0.1</f>
        <v>558.72</v>
      </c>
      <c r="G26" s="25">
        <f>E26+F26</f>
        <v>6145.92</v>
      </c>
      <c r="H26" s="24">
        <v>30</v>
      </c>
      <c r="I26" s="25">
        <f>G26*H26/100</f>
        <v>1843.7760000000001</v>
      </c>
      <c r="J26" s="25">
        <f>G26*0.3</f>
        <v>1843.7759999999998</v>
      </c>
      <c r="K26" s="24"/>
      <c r="L26" s="24"/>
      <c r="M26" s="24"/>
      <c r="N26" s="25">
        <f t="shared" si="0"/>
        <v>14750.207999999999</v>
      </c>
      <c r="O26" s="26">
        <f>N26*12</f>
        <v>177002.49599999998</v>
      </c>
    </row>
    <row r="27" spans="1:15" s="14" customFormat="1" ht="72" customHeight="1" x14ac:dyDescent="0.7">
      <c r="A27" s="30"/>
      <c r="B27" s="31" t="s">
        <v>53</v>
      </c>
      <c r="C27" s="32"/>
      <c r="D27" s="24"/>
      <c r="E27" s="25"/>
      <c r="F27" s="25"/>
      <c r="G27" s="25"/>
      <c r="H27" s="24"/>
      <c r="I27" s="25"/>
      <c r="J27" s="25"/>
      <c r="K27" s="24"/>
      <c r="L27" s="24"/>
      <c r="M27" s="24"/>
      <c r="N27" s="25"/>
      <c r="O27" s="26"/>
    </row>
    <row r="28" spans="1:15" s="14" customFormat="1" ht="72" customHeight="1" x14ac:dyDescent="0.7">
      <c r="A28" s="27" t="s">
        <v>30</v>
      </c>
      <c r="B28" s="31" t="s">
        <v>31</v>
      </c>
      <c r="C28" s="32">
        <v>11</v>
      </c>
      <c r="D28" s="24">
        <v>0.5</v>
      </c>
      <c r="E28" s="25">
        <v>4383</v>
      </c>
      <c r="F28" s="25">
        <f>E28*0.1</f>
        <v>438.3</v>
      </c>
      <c r="G28" s="25">
        <f>E28+F28</f>
        <v>4821.3</v>
      </c>
      <c r="H28" s="24">
        <v>10</v>
      </c>
      <c r="I28" s="25">
        <f>G28*H28/100</f>
        <v>482.13</v>
      </c>
      <c r="J28" s="25">
        <f>G28*0.2</f>
        <v>964.2600000000001</v>
      </c>
      <c r="K28" s="24"/>
      <c r="L28" s="24"/>
      <c r="M28" s="24"/>
      <c r="N28" s="25">
        <f t="shared" si="0"/>
        <v>3133.8450000000003</v>
      </c>
      <c r="O28" s="26">
        <f>N28*12</f>
        <v>37606.14</v>
      </c>
    </row>
    <row r="29" spans="1:15" s="14" customFormat="1" ht="72" customHeight="1" x14ac:dyDescent="0.7">
      <c r="A29" s="19" t="s">
        <v>32</v>
      </c>
      <c r="B29" s="23" t="s">
        <v>33</v>
      </c>
      <c r="C29" s="24">
        <v>14</v>
      </c>
      <c r="D29" s="24">
        <v>1</v>
      </c>
      <c r="E29" s="25">
        <v>5385</v>
      </c>
      <c r="F29" s="25">
        <f>E29*0.1</f>
        <v>538.5</v>
      </c>
      <c r="G29" s="25">
        <f>E29+F29</f>
        <v>5923.5</v>
      </c>
      <c r="H29" s="24">
        <v>20</v>
      </c>
      <c r="I29" s="25">
        <f>G29*H29/100</f>
        <v>1184.7</v>
      </c>
      <c r="J29" s="25">
        <f>G29*0.2</f>
        <v>1184.7</v>
      </c>
      <c r="K29" s="24"/>
      <c r="L29" s="24"/>
      <c r="M29" s="24"/>
      <c r="N29" s="25">
        <f t="shared" si="0"/>
        <v>8292.9</v>
      </c>
      <c r="O29" s="26">
        <f>N29*12</f>
        <v>99514.799999999988</v>
      </c>
    </row>
    <row r="30" spans="1:15" s="14" customFormat="1" ht="72" customHeight="1" x14ac:dyDescent="0.7">
      <c r="A30" s="19">
        <v>5</v>
      </c>
      <c r="B30" s="23" t="s">
        <v>34</v>
      </c>
      <c r="C30" s="24">
        <v>10</v>
      </c>
      <c r="D30" s="24">
        <v>0.5</v>
      </c>
      <c r="E30" s="25">
        <v>4050</v>
      </c>
      <c r="F30" s="25">
        <f>E30*0.1</f>
        <v>405</v>
      </c>
      <c r="G30" s="25">
        <f>E30+F30</f>
        <v>4455</v>
      </c>
      <c r="H30" s="24">
        <v>30</v>
      </c>
      <c r="I30" s="25">
        <f>G30*H30/100</f>
        <v>1336.5</v>
      </c>
      <c r="J30" s="25">
        <f>G30*0.2</f>
        <v>891</v>
      </c>
      <c r="K30" s="24"/>
      <c r="L30" s="24"/>
      <c r="M30" s="24"/>
      <c r="N30" s="25">
        <f t="shared" si="0"/>
        <v>3341.25</v>
      </c>
      <c r="O30" s="26">
        <f>N30*12</f>
        <v>40095</v>
      </c>
    </row>
    <row r="31" spans="1:15" s="61" customFormat="1" ht="72" customHeight="1" x14ac:dyDescent="0.7">
      <c r="A31" s="60"/>
      <c r="B31" s="34" t="s">
        <v>35</v>
      </c>
      <c r="C31" s="60"/>
      <c r="D31" s="60">
        <f>SUM(D25:D30)</f>
        <v>4.5</v>
      </c>
      <c r="E31" s="36">
        <f>E25*D25+E26*D26+E28*D28+E29*D29+E30*D30</f>
        <v>24190.3</v>
      </c>
      <c r="F31" s="36">
        <f>(F25*D25)+(F26*D26)+(F28*D28)+(F29*D29)+(F30*D30)</f>
        <v>2419.0300000000002</v>
      </c>
      <c r="G31" s="36">
        <f>(G25*D25)+(G26*D26)+(G28*D28)+(G29*D29)+(G30*D30)</f>
        <v>26609.33</v>
      </c>
      <c r="H31" s="60"/>
      <c r="I31" s="36">
        <f>(D25*I25)+(D26*I26)+(D29*I29)+I30*D30+I28*D28</f>
        <v>6908.3189999999995</v>
      </c>
      <c r="J31" s="36">
        <f>J25*D25+J26*D26+J28*D28+J29*D29+J30*D30</f>
        <v>6926.634</v>
      </c>
      <c r="K31" s="60"/>
      <c r="L31" s="60"/>
      <c r="M31" s="60"/>
      <c r="N31" s="36">
        <f>SUM(N25:N30)</f>
        <v>40444.283000000003</v>
      </c>
      <c r="O31" s="36">
        <f>SUM(O25:O30)</f>
        <v>485331.39600000001</v>
      </c>
    </row>
    <row r="32" spans="1:15" s="14" customFormat="1" ht="72" customHeight="1" x14ac:dyDescent="0.7">
      <c r="A32" s="19"/>
      <c r="B32" s="37" t="s">
        <v>36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4"/>
      <c r="N32" s="25"/>
      <c r="O32" s="38"/>
    </row>
    <row r="33" spans="1:15" s="14" customFormat="1" ht="72" customHeight="1" x14ac:dyDescent="0.7">
      <c r="A33" s="19" t="s">
        <v>27</v>
      </c>
      <c r="B33" s="23" t="s">
        <v>61</v>
      </c>
      <c r="C33" s="24">
        <v>6</v>
      </c>
      <c r="D33" s="24">
        <v>0.5</v>
      </c>
      <c r="E33" s="25">
        <v>3226</v>
      </c>
      <c r="F33" s="25"/>
      <c r="G33" s="25">
        <v>3226</v>
      </c>
      <c r="H33" s="24">
        <v>10</v>
      </c>
      <c r="I33" s="25">
        <f>E33*H33/100</f>
        <v>322.60000000000002</v>
      </c>
      <c r="J33" s="25"/>
      <c r="K33" s="24"/>
      <c r="L33" s="24"/>
      <c r="M33" s="25">
        <f>5000-G33-I33</f>
        <v>1451.4</v>
      </c>
      <c r="N33" s="25">
        <f>(G33+I33+K33+L33+J33+M33)*D33</f>
        <v>2500</v>
      </c>
      <c r="O33" s="26">
        <f>N33*12</f>
        <v>30000</v>
      </c>
    </row>
    <row r="34" spans="1:15" s="14" customFormat="1" ht="72" customHeight="1" x14ac:dyDescent="0.7">
      <c r="A34" s="19" t="s">
        <v>29</v>
      </c>
      <c r="B34" s="28" t="s">
        <v>37</v>
      </c>
      <c r="C34" s="24">
        <v>8</v>
      </c>
      <c r="D34" s="24">
        <v>1</v>
      </c>
      <c r="E34" s="25">
        <v>3649</v>
      </c>
      <c r="F34" s="25"/>
      <c r="G34" s="25">
        <v>3649</v>
      </c>
      <c r="H34" s="24"/>
      <c r="I34" s="24"/>
      <c r="J34" s="24"/>
      <c r="K34" s="24"/>
      <c r="L34" s="24"/>
      <c r="M34" s="25">
        <f>5000-G34</f>
        <v>1351</v>
      </c>
      <c r="N34" s="25">
        <f>(G34+I34+K34+L34+J34+M34)*D34</f>
        <v>5000</v>
      </c>
      <c r="O34" s="26">
        <f>N34*12</f>
        <v>60000</v>
      </c>
    </row>
    <row r="35" spans="1:15" s="14" customFormat="1" ht="72" customHeight="1" x14ac:dyDescent="0.7">
      <c r="A35" s="19"/>
      <c r="B35" s="31" t="s">
        <v>38</v>
      </c>
      <c r="C35" s="24"/>
      <c r="D35" s="24"/>
      <c r="E35" s="25"/>
      <c r="F35" s="25"/>
      <c r="G35" s="25"/>
      <c r="H35" s="24"/>
      <c r="I35" s="24"/>
      <c r="J35" s="24"/>
      <c r="K35" s="24"/>
      <c r="L35" s="24"/>
      <c r="M35" s="25"/>
      <c r="N35" s="25"/>
      <c r="O35" s="26"/>
    </row>
    <row r="36" spans="1:15" s="14" customFormat="1" ht="72" customHeight="1" x14ac:dyDescent="0.7">
      <c r="A36" s="19">
        <v>3</v>
      </c>
      <c r="B36" s="39" t="s">
        <v>39</v>
      </c>
      <c r="C36" s="24">
        <v>5</v>
      </c>
      <c r="D36" s="24">
        <v>0.5</v>
      </c>
      <c r="E36" s="25">
        <v>3026</v>
      </c>
      <c r="F36" s="24"/>
      <c r="G36" s="25">
        <v>3026</v>
      </c>
      <c r="H36" s="24"/>
      <c r="I36" s="24"/>
      <c r="J36" s="24"/>
      <c r="K36" s="24"/>
      <c r="L36" s="24"/>
      <c r="M36" s="25">
        <f>5000-G36</f>
        <v>1974</v>
      </c>
      <c r="N36" s="25">
        <f>(G36+I36+K36+L36+J36+M36)*D36</f>
        <v>2500</v>
      </c>
      <c r="O36" s="26">
        <f>N36*12</f>
        <v>30000</v>
      </c>
    </row>
    <row r="37" spans="1:15" s="61" customFormat="1" ht="54" customHeight="1" x14ac:dyDescent="0.7">
      <c r="A37" s="60"/>
      <c r="B37" s="34" t="s">
        <v>35</v>
      </c>
      <c r="C37" s="60"/>
      <c r="D37" s="60">
        <f>SUM(D33:D36)</f>
        <v>2</v>
      </c>
      <c r="E37" s="36">
        <f t="shared" ref="E37:O37" si="1">SUM(E33:E36)</f>
        <v>9901</v>
      </c>
      <c r="F37" s="60">
        <f t="shared" si="1"/>
        <v>0</v>
      </c>
      <c r="G37" s="36">
        <f>G33*D33+G34*D34+G36*D36</f>
        <v>6775</v>
      </c>
      <c r="H37" s="60">
        <f t="shared" si="1"/>
        <v>10</v>
      </c>
      <c r="I37" s="36">
        <f>I33*D33</f>
        <v>161.30000000000001</v>
      </c>
      <c r="J37" s="36"/>
      <c r="K37" s="60">
        <f t="shared" si="1"/>
        <v>0</v>
      </c>
      <c r="L37" s="60">
        <f t="shared" si="1"/>
        <v>0</v>
      </c>
      <c r="M37" s="60">
        <f>M33*D33+M34*D34+M36*D36</f>
        <v>3063.7</v>
      </c>
      <c r="N37" s="36">
        <f t="shared" si="1"/>
        <v>10000</v>
      </c>
      <c r="O37" s="36">
        <f t="shared" si="1"/>
        <v>120000</v>
      </c>
    </row>
    <row r="38" spans="1:15" s="14" customFormat="1" ht="54" customHeight="1" x14ac:dyDescent="0.7">
      <c r="A38" s="27"/>
      <c r="B38" s="37" t="s">
        <v>40</v>
      </c>
      <c r="C38" s="40"/>
      <c r="D38" s="24"/>
      <c r="E38" s="24"/>
      <c r="F38" s="24"/>
      <c r="G38" s="24"/>
      <c r="H38" s="24"/>
      <c r="I38" s="24"/>
      <c r="J38" s="25"/>
      <c r="K38" s="24"/>
      <c r="L38" s="24"/>
      <c r="M38" s="24"/>
      <c r="N38" s="24"/>
      <c r="O38" s="38"/>
    </row>
    <row r="39" spans="1:15" s="14" customFormat="1" ht="96" customHeight="1" x14ac:dyDescent="0.7">
      <c r="A39" s="19">
        <v>1</v>
      </c>
      <c r="B39" s="66" t="s">
        <v>56</v>
      </c>
      <c r="C39" s="24">
        <v>1</v>
      </c>
      <c r="D39" s="24">
        <v>1.5</v>
      </c>
      <c r="E39" s="25">
        <v>2225</v>
      </c>
      <c r="F39" s="25"/>
      <c r="G39" s="25">
        <v>2225</v>
      </c>
      <c r="H39" s="24"/>
      <c r="I39" s="24"/>
      <c r="J39" s="24"/>
      <c r="K39" s="24"/>
      <c r="L39" s="25">
        <f>E39*0.1</f>
        <v>222.5</v>
      </c>
      <c r="M39" s="25">
        <f>5000-G39</f>
        <v>2775</v>
      </c>
      <c r="N39" s="25">
        <f t="shared" ref="N39:N47" si="2">(G39+I39+K39+L39+J39+M39)*D39</f>
        <v>7833.75</v>
      </c>
      <c r="O39" s="26">
        <f>N39*12</f>
        <v>94005</v>
      </c>
    </row>
    <row r="40" spans="1:15" s="14" customFormat="1" ht="54" customHeight="1" x14ac:dyDescent="0.7">
      <c r="A40" s="17"/>
      <c r="B40" s="31"/>
      <c r="C40" s="32"/>
      <c r="D40" s="24"/>
      <c r="E40" s="25"/>
      <c r="F40" s="25"/>
      <c r="G40" s="25"/>
      <c r="H40" s="24"/>
      <c r="I40" s="24"/>
      <c r="J40" s="24"/>
      <c r="K40" s="24"/>
      <c r="L40" s="24"/>
      <c r="M40" s="25"/>
      <c r="N40" s="25"/>
      <c r="O40" s="26"/>
    </row>
    <row r="41" spans="1:15" s="14" customFormat="1" ht="144" customHeight="1" x14ac:dyDescent="0.7">
      <c r="A41" s="27">
        <v>2</v>
      </c>
      <c r="B41" s="42" t="s">
        <v>57</v>
      </c>
      <c r="C41" s="41">
        <v>3</v>
      </c>
      <c r="D41" s="24">
        <v>1</v>
      </c>
      <c r="E41" s="25">
        <v>2626</v>
      </c>
      <c r="F41" s="25"/>
      <c r="G41" s="25">
        <v>2626</v>
      </c>
      <c r="H41" s="24"/>
      <c r="I41" s="24"/>
      <c r="J41" s="24"/>
      <c r="K41" s="24"/>
      <c r="L41" s="24"/>
      <c r="M41" s="25">
        <f>5000-G41</f>
        <v>2374</v>
      </c>
      <c r="N41" s="25">
        <f t="shared" si="2"/>
        <v>5000</v>
      </c>
      <c r="O41" s="26">
        <f t="shared" ref="O41:O47" si="3">N41*12</f>
        <v>60000</v>
      </c>
    </row>
    <row r="42" spans="1:15" s="14" customFormat="1" ht="54" customHeight="1" x14ac:dyDescent="0.7">
      <c r="A42" s="17"/>
      <c r="B42" s="31"/>
      <c r="C42" s="32"/>
      <c r="D42" s="24"/>
      <c r="E42" s="25"/>
      <c r="F42" s="25"/>
      <c r="G42" s="25"/>
      <c r="H42" s="24"/>
      <c r="I42" s="24"/>
      <c r="J42" s="24"/>
      <c r="K42" s="24"/>
      <c r="L42" s="24"/>
      <c r="M42" s="25"/>
      <c r="N42" s="25"/>
      <c r="O42" s="26"/>
    </row>
    <row r="43" spans="1:15" s="14" customFormat="1" ht="120" customHeight="1" x14ac:dyDescent="0.7">
      <c r="A43" s="27">
        <v>3</v>
      </c>
      <c r="B43" s="42" t="s">
        <v>41</v>
      </c>
      <c r="C43" s="41">
        <v>4</v>
      </c>
      <c r="D43" s="24">
        <v>1</v>
      </c>
      <c r="E43" s="25">
        <v>2826</v>
      </c>
      <c r="F43" s="25"/>
      <c r="G43" s="25">
        <v>2826</v>
      </c>
      <c r="H43" s="24"/>
      <c r="I43" s="24"/>
      <c r="J43" s="24"/>
      <c r="K43" s="24"/>
      <c r="L43" s="24"/>
      <c r="M43" s="25">
        <f>5000-G43</f>
        <v>2174</v>
      </c>
      <c r="N43" s="25">
        <f t="shared" si="2"/>
        <v>5000</v>
      </c>
      <c r="O43" s="26">
        <f t="shared" si="3"/>
        <v>60000</v>
      </c>
    </row>
    <row r="44" spans="1:15" s="14" customFormat="1" ht="123" customHeight="1" x14ac:dyDescent="0.7">
      <c r="A44" s="27">
        <v>4</v>
      </c>
      <c r="B44" s="42" t="s">
        <v>41</v>
      </c>
      <c r="C44" s="41">
        <v>3</v>
      </c>
      <c r="D44" s="24">
        <v>1.5</v>
      </c>
      <c r="E44" s="25">
        <v>2626</v>
      </c>
      <c r="F44" s="25"/>
      <c r="G44" s="25">
        <v>2626</v>
      </c>
      <c r="H44" s="24"/>
      <c r="I44" s="24"/>
      <c r="J44" s="24"/>
      <c r="K44" s="25">
        <f>E44*0.4/166.8*240/3</f>
        <v>503.78896882494001</v>
      </c>
      <c r="L44" s="25"/>
      <c r="M44" s="25">
        <f>5000-G44</f>
        <v>2374</v>
      </c>
      <c r="N44" s="25">
        <f t="shared" si="2"/>
        <v>8255.6834532374087</v>
      </c>
      <c r="O44" s="26">
        <f t="shared" si="3"/>
        <v>99068.201438848904</v>
      </c>
    </row>
    <row r="45" spans="1:15" s="14" customFormat="1" ht="81" customHeight="1" x14ac:dyDescent="0.7">
      <c r="A45" s="17"/>
      <c r="B45" s="31" t="s">
        <v>42</v>
      </c>
      <c r="C45" s="32"/>
      <c r="D45" s="24"/>
      <c r="E45" s="25"/>
      <c r="F45" s="25"/>
      <c r="G45" s="25"/>
      <c r="H45" s="24"/>
      <c r="I45" s="24"/>
      <c r="J45" s="24"/>
      <c r="K45" s="24"/>
      <c r="L45" s="24"/>
      <c r="M45" s="25"/>
      <c r="N45" s="25"/>
      <c r="O45" s="26"/>
    </row>
    <row r="46" spans="1:15" s="14" customFormat="1" ht="54" customHeight="1" x14ac:dyDescent="0.7">
      <c r="A46" s="19">
        <v>5</v>
      </c>
      <c r="B46" s="23" t="s">
        <v>43</v>
      </c>
      <c r="C46" s="24">
        <v>1</v>
      </c>
      <c r="D46" s="24">
        <v>2</v>
      </c>
      <c r="E46" s="25">
        <v>2225</v>
      </c>
      <c r="F46" s="25"/>
      <c r="G46" s="25">
        <v>2225</v>
      </c>
      <c r="H46" s="24"/>
      <c r="I46" s="24"/>
      <c r="J46" s="24"/>
      <c r="K46" s="25">
        <f>E46*0.4/166.8*240/D46</f>
        <v>640.28776978417261</v>
      </c>
      <c r="L46" s="25"/>
      <c r="M46" s="25">
        <f>5000-G46</f>
        <v>2775</v>
      </c>
      <c r="N46" s="25">
        <f t="shared" si="2"/>
        <v>11280.575539568345</v>
      </c>
      <c r="O46" s="26">
        <f t="shared" si="3"/>
        <v>135366.90647482013</v>
      </c>
    </row>
    <row r="47" spans="1:15" s="14" customFormat="1" ht="54" customHeight="1" x14ac:dyDescent="0.7">
      <c r="A47" s="19">
        <v>6</v>
      </c>
      <c r="B47" s="23" t="s">
        <v>44</v>
      </c>
      <c r="C47" s="24">
        <v>1</v>
      </c>
      <c r="D47" s="24">
        <v>0.5</v>
      </c>
      <c r="E47" s="25">
        <v>2225</v>
      </c>
      <c r="F47" s="25"/>
      <c r="G47" s="25">
        <v>2225</v>
      </c>
      <c r="H47" s="24"/>
      <c r="I47" s="24"/>
      <c r="J47" s="24"/>
      <c r="K47" s="24"/>
      <c r="L47" s="25">
        <f>E47*0.1</f>
        <v>222.5</v>
      </c>
      <c r="M47" s="25">
        <f>5000-G47</f>
        <v>2775</v>
      </c>
      <c r="N47" s="25">
        <f t="shared" si="2"/>
        <v>2611.25</v>
      </c>
      <c r="O47" s="26">
        <f t="shared" si="3"/>
        <v>31335</v>
      </c>
    </row>
    <row r="48" spans="1:15" s="14" customFormat="1" ht="54" customHeight="1" x14ac:dyDescent="0.7">
      <c r="A48" s="33"/>
      <c r="B48" s="34" t="s">
        <v>35</v>
      </c>
      <c r="C48" s="33"/>
      <c r="D48" s="35">
        <f>SUM(D39:D47)</f>
        <v>7.5</v>
      </c>
      <c r="E48" s="35">
        <f>E39*D39+E41*D41+E43*D43+E44*D44+E46*D46+E47*D47</f>
        <v>18291</v>
      </c>
      <c r="F48" s="35"/>
      <c r="G48" s="35">
        <f>G39*D39+G41*D41+G43*D43+G44*D44+G46*D46+G47*D47</f>
        <v>18291</v>
      </c>
      <c r="H48" s="33"/>
      <c r="I48" s="33"/>
      <c r="J48" s="33"/>
      <c r="K48" s="35">
        <f>(D44*K44)+(D46*K46)</f>
        <v>2036.2589928057553</v>
      </c>
      <c r="L48" s="35">
        <f>L39*D39+L47*D47</f>
        <v>445</v>
      </c>
      <c r="M48" s="35">
        <f>M39*D39+M41*D41+M43*D43+M44*D44+M46*D46+M47*D47</f>
        <v>19209</v>
      </c>
      <c r="N48" s="35">
        <f>SUM(N39:N47)</f>
        <v>39981.258992805757</v>
      </c>
      <c r="O48" s="36">
        <f>SUM(O39:O47)</f>
        <v>479775.10791366908</v>
      </c>
    </row>
    <row r="49" spans="1:15" s="14" customFormat="1" ht="54" customHeight="1" x14ac:dyDescent="0.7">
      <c r="A49" s="43"/>
      <c r="B49" s="44" t="s">
        <v>45</v>
      </c>
      <c r="C49" s="58"/>
      <c r="D49" s="59">
        <f>D31+D37+D48</f>
        <v>14</v>
      </c>
      <c r="E49" s="58">
        <f>E31+E37+E48</f>
        <v>52382.3</v>
      </c>
      <c r="F49" s="58">
        <f>F31+F37+F48</f>
        <v>2419.0300000000002</v>
      </c>
      <c r="G49" s="58">
        <f>G31+G37+G48</f>
        <v>51675.33</v>
      </c>
      <c r="H49" s="58"/>
      <c r="I49" s="58">
        <f t="shared" ref="I49:O49" si="4">I31+I37+I48</f>
        <v>7069.6189999999997</v>
      </c>
      <c r="J49" s="58">
        <f t="shared" si="4"/>
        <v>6926.634</v>
      </c>
      <c r="K49" s="59">
        <f t="shared" si="4"/>
        <v>2036.2589928057553</v>
      </c>
      <c r="L49" s="59">
        <f t="shared" si="4"/>
        <v>445</v>
      </c>
      <c r="M49" s="59">
        <f t="shared" si="4"/>
        <v>22272.7</v>
      </c>
      <c r="N49" s="59">
        <f t="shared" si="4"/>
        <v>90425.541992805753</v>
      </c>
      <c r="O49" s="59">
        <f t="shared" si="4"/>
        <v>1085106.5039136689</v>
      </c>
    </row>
    <row r="50" spans="1:15" s="57" customFormat="1" ht="54" customHeight="1" x14ac:dyDescent="0.7">
      <c r="A50" s="51"/>
      <c r="B50" s="49"/>
      <c r="C50" s="51"/>
      <c r="D50" s="56"/>
      <c r="E50" s="51"/>
      <c r="F50" s="51"/>
      <c r="G50" s="51"/>
      <c r="H50" s="51"/>
      <c r="I50" s="51"/>
      <c r="J50" s="51"/>
      <c r="K50" s="56"/>
      <c r="L50" s="56"/>
      <c r="M50" s="56"/>
      <c r="N50" s="56"/>
      <c r="O50" s="56"/>
    </row>
    <row r="51" spans="1:15" s="57" customFormat="1" ht="54" customHeight="1" x14ac:dyDescent="0.7">
      <c r="A51" s="51"/>
      <c r="B51" s="49"/>
      <c r="C51" s="51"/>
      <c r="D51" s="56"/>
      <c r="E51" s="51"/>
      <c r="F51" s="51"/>
      <c r="G51" s="51"/>
      <c r="H51" s="51"/>
      <c r="I51" s="51"/>
      <c r="J51" s="51"/>
      <c r="K51" s="56"/>
      <c r="L51" s="56"/>
      <c r="M51" s="56"/>
      <c r="N51" s="56"/>
      <c r="O51" s="56"/>
    </row>
    <row r="52" spans="1:15" s="57" customFormat="1" ht="54" customHeight="1" x14ac:dyDescent="0.7">
      <c r="A52" s="51"/>
      <c r="B52" s="49"/>
      <c r="C52" s="51"/>
      <c r="D52" s="56"/>
      <c r="E52" s="51"/>
      <c r="F52" s="51"/>
      <c r="G52" s="51"/>
      <c r="H52" s="51"/>
      <c r="I52" s="51"/>
      <c r="J52" s="51"/>
      <c r="K52" s="56"/>
      <c r="L52" s="56"/>
      <c r="M52" s="56"/>
      <c r="N52" s="56"/>
      <c r="O52" s="56"/>
    </row>
    <row r="53" spans="1:15" s="7" customFormat="1" ht="36" x14ac:dyDescent="0.55000000000000004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s="7" customFormat="1" ht="42" customHeight="1" x14ac:dyDescent="0.55000000000000004">
      <c r="A54" s="8"/>
      <c r="B54" s="9"/>
      <c r="C54" s="8"/>
      <c r="D54" s="8"/>
      <c r="E54" s="8"/>
      <c r="F54" s="8"/>
      <c r="G54" s="8"/>
      <c r="H54" s="8"/>
      <c r="I54" s="8"/>
      <c r="J54" s="10"/>
      <c r="K54" s="8"/>
      <c r="L54" s="10"/>
      <c r="M54" s="10"/>
      <c r="N54" s="8"/>
      <c r="O54" s="9"/>
    </row>
    <row r="55" spans="1:15" s="14" customFormat="1" ht="63" customHeight="1" x14ac:dyDescent="0.7">
      <c r="A55" s="45"/>
      <c r="B55" s="46"/>
      <c r="C55" s="47"/>
      <c r="D55" s="47" t="s">
        <v>47</v>
      </c>
      <c r="E55" s="47"/>
      <c r="F55" s="47"/>
      <c r="G55" s="47"/>
      <c r="H55" s="47"/>
      <c r="I55" s="45"/>
      <c r="J55" s="45"/>
      <c r="K55" s="47" t="s">
        <v>48</v>
      </c>
      <c r="L55" s="45"/>
      <c r="M55" s="45"/>
      <c r="N55" s="45"/>
      <c r="O55" s="48"/>
    </row>
    <row r="56" spans="1:15" s="14" customFormat="1" ht="46.5" x14ac:dyDescent="0.7">
      <c r="A56" s="45"/>
      <c r="B56" s="48"/>
      <c r="C56" s="45"/>
      <c r="D56" s="45"/>
      <c r="E56" s="45"/>
      <c r="F56" s="45"/>
      <c r="G56" s="45"/>
      <c r="H56" s="45"/>
      <c r="I56" s="47"/>
      <c r="J56" s="47"/>
      <c r="K56" s="47"/>
      <c r="L56" s="47"/>
      <c r="M56" s="47"/>
      <c r="N56" s="47"/>
      <c r="O56" s="48"/>
    </row>
    <row r="57" spans="1:15" s="14" customFormat="1" ht="46.5" x14ac:dyDescent="0.7">
      <c r="A57" s="45"/>
      <c r="B57" s="49"/>
      <c r="C57" s="50"/>
      <c r="D57" s="50" t="s">
        <v>50</v>
      </c>
      <c r="E57" s="50"/>
      <c r="F57" s="50"/>
      <c r="G57" s="50"/>
      <c r="H57" s="50"/>
      <c r="I57" s="50"/>
      <c r="J57" s="50"/>
      <c r="K57" s="50" t="s">
        <v>49</v>
      </c>
      <c r="L57" s="50"/>
      <c r="M57" s="50"/>
      <c r="N57" s="51"/>
      <c r="O57" s="48"/>
    </row>
    <row r="58" spans="1:15" s="7" customFormat="1" ht="36" x14ac:dyDescent="0.55000000000000004">
      <c r="A58" s="8"/>
      <c r="B58" s="9"/>
      <c r="C58" s="8"/>
      <c r="D58" s="8"/>
      <c r="E58" s="8"/>
      <c r="F58" s="8"/>
      <c r="G58" s="8"/>
      <c r="H58" s="8"/>
      <c r="I58" s="11"/>
      <c r="J58" s="11"/>
      <c r="K58" s="11"/>
      <c r="L58" s="11"/>
      <c r="M58" s="11"/>
      <c r="N58" s="11"/>
      <c r="O58" s="9"/>
    </row>
    <row r="59" spans="1:15" ht="30" x14ac:dyDescent="0.4">
      <c r="A59" s="1"/>
      <c r="B59" s="2"/>
      <c r="C59" s="1">
        <v>1</v>
      </c>
      <c r="D59" s="3">
        <f>D39+D46+D47</f>
        <v>4</v>
      </c>
      <c r="E59" s="3">
        <f t="shared" ref="E59:O59" si="5">E39+E46+E47</f>
        <v>6675</v>
      </c>
      <c r="F59" s="3">
        <f t="shared" si="5"/>
        <v>0</v>
      </c>
      <c r="G59" s="3">
        <f t="shared" si="5"/>
        <v>6675</v>
      </c>
      <c r="H59" s="3">
        <f t="shared" si="5"/>
        <v>0</v>
      </c>
      <c r="I59" s="3">
        <f t="shared" si="5"/>
        <v>0</v>
      </c>
      <c r="J59" s="3">
        <f t="shared" si="5"/>
        <v>0</v>
      </c>
      <c r="K59" s="3">
        <f t="shared" si="5"/>
        <v>640.28776978417261</v>
      </c>
      <c r="L59" s="3">
        <f t="shared" si="5"/>
        <v>445</v>
      </c>
      <c r="M59" s="3">
        <f t="shared" si="5"/>
        <v>8325</v>
      </c>
      <c r="N59" s="3">
        <f t="shared" si="5"/>
        <v>21725.575539568345</v>
      </c>
      <c r="O59" s="3">
        <f t="shared" si="5"/>
        <v>260706.90647482013</v>
      </c>
    </row>
    <row r="60" spans="1:15" ht="30" x14ac:dyDescent="0.4">
      <c r="A60" s="1"/>
      <c r="B60" s="2"/>
      <c r="C60" s="1">
        <v>3</v>
      </c>
      <c r="D60" s="3">
        <f>D41+D44</f>
        <v>2.5</v>
      </c>
      <c r="E60" s="3">
        <f t="shared" ref="E60:O60" si="6">E41+E44</f>
        <v>5252</v>
      </c>
      <c r="F60" s="3">
        <f t="shared" si="6"/>
        <v>0</v>
      </c>
      <c r="G60" s="3">
        <f t="shared" si="6"/>
        <v>5252</v>
      </c>
      <c r="H60" s="3">
        <f t="shared" si="6"/>
        <v>0</v>
      </c>
      <c r="I60" s="3">
        <f t="shared" si="6"/>
        <v>0</v>
      </c>
      <c r="J60" s="3">
        <f t="shared" si="6"/>
        <v>0</v>
      </c>
      <c r="K60" s="3">
        <f t="shared" si="6"/>
        <v>503.78896882494001</v>
      </c>
      <c r="L60" s="3">
        <f t="shared" si="6"/>
        <v>0</v>
      </c>
      <c r="M60" s="3">
        <f t="shared" si="6"/>
        <v>4748</v>
      </c>
      <c r="N60" s="3">
        <f t="shared" si="6"/>
        <v>13255.683453237409</v>
      </c>
      <c r="O60" s="3">
        <f t="shared" si="6"/>
        <v>159068.20143884892</v>
      </c>
    </row>
    <row r="61" spans="1:15" ht="30" x14ac:dyDescent="0.4">
      <c r="A61" s="1"/>
      <c r="B61" s="2"/>
      <c r="C61" s="1">
        <v>4</v>
      </c>
      <c r="D61" s="3">
        <f>D43</f>
        <v>1</v>
      </c>
      <c r="E61" s="3">
        <f t="shared" ref="E61:O61" si="7">E43</f>
        <v>2826</v>
      </c>
      <c r="F61" s="3">
        <f t="shared" si="7"/>
        <v>0</v>
      </c>
      <c r="G61" s="3">
        <f t="shared" si="7"/>
        <v>2826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3">
        <f t="shared" si="7"/>
        <v>0</v>
      </c>
      <c r="L61" s="3">
        <f t="shared" si="7"/>
        <v>0</v>
      </c>
      <c r="M61" s="3">
        <f t="shared" si="7"/>
        <v>2174</v>
      </c>
      <c r="N61" s="3">
        <f t="shared" si="7"/>
        <v>5000</v>
      </c>
      <c r="O61" s="3">
        <f t="shared" si="7"/>
        <v>60000</v>
      </c>
    </row>
    <row r="62" spans="1:15" ht="30" x14ac:dyDescent="0.4">
      <c r="A62" s="1"/>
      <c r="B62" s="2"/>
      <c r="C62" s="1">
        <v>5</v>
      </c>
      <c r="D62" s="3">
        <f>D36</f>
        <v>0.5</v>
      </c>
      <c r="E62" s="3">
        <f t="shared" ref="E62:O62" si="8">E36</f>
        <v>3026</v>
      </c>
      <c r="F62" s="3">
        <f t="shared" si="8"/>
        <v>0</v>
      </c>
      <c r="G62" s="3">
        <f t="shared" si="8"/>
        <v>3026</v>
      </c>
      <c r="H62" s="3">
        <f t="shared" si="8"/>
        <v>0</v>
      </c>
      <c r="I62" s="3">
        <f t="shared" si="8"/>
        <v>0</v>
      </c>
      <c r="J62" s="3">
        <f t="shared" si="8"/>
        <v>0</v>
      </c>
      <c r="K62" s="3">
        <f t="shared" si="8"/>
        <v>0</v>
      </c>
      <c r="L62" s="3">
        <f t="shared" si="8"/>
        <v>0</v>
      </c>
      <c r="M62" s="3">
        <f t="shared" si="8"/>
        <v>1974</v>
      </c>
      <c r="N62" s="3">
        <f t="shared" si="8"/>
        <v>2500</v>
      </c>
      <c r="O62" s="3">
        <f t="shared" si="8"/>
        <v>30000</v>
      </c>
    </row>
    <row r="63" spans="1:15" ht="30" x14ac:dyDescent="0.4">
      <c r="A63" s="1"/>
      <c r="B63" s="2"/>
      <c r="C63" s="1">
        <v>6</v>
      </c>
      <c r="D63" s="3">
        <f>D33</f>
        <v>0.5</v>
      </c>
      <c r="E63" s="3">
        <f t="shared" ref="E63:O64" si="9">E33</f>
        <v>3226</v>
      </c>
      <c r="F63" s="3">
        <f t="shared" si="9"/>
        <v>0</v>
      </c>
      <c r="G63" s="3">
        <f t="shared" si="9"/>
        <v>3226</v>
      </c>
      <c r="H63" s="3">
        <f t="shared" si="9"/>
        <v>10</v>
      </c>
      <c r="I63" s="3">
        <f t="shared" si="9"/>
        <v>322.60000000000002</v>
      </c>
      <c r="J63" s="3">
        <f t="shared" si="9"/>
        <v>0</v>
      </c>
      <c r="K63" s="3">
        <f t="shared" si="9"/>
        <v>0</v>
      </c>
      <c r="L63" s="3">
        <f t="shared" si="9"/>
        <v>0</v>
      </c>
      <c r="M63" s="3">
        <f t="shared" si="9"/>
        <v>1451.4</v>
      </c>
      <c r="N63" s="3">
        <f t="shared" si="9"/>
        <v>2500</v>
      </c>
      <c r="O63" s="3">
        <f t="shared" si="9"/>
        <v>30000</v>
      </c>
    </row>
    <row r="64" spans="1:15" ht="30" x14ac:dyDescent="0.4">
      <c r="A64" s="1"/>
      <c r="B64" s="2"/>
      <c r="C64" s="1">
        <v>8</v>
      </c>
      <c r="D64" s="3">
        <f>D34</f>
        <v>1</v>
      </c>
      <c r="E64" s="3">
        <f t="shared" si="9"/>
        <v>3649</v>
      </c>
      <c r="F64" s="3">
        <f t="shared" si="9"/>
        <v>0</v>
      </c>
      <c r="G64" s="3">
        <f t="shared" si="9"/>
        <v>3649</v>
      </c>
      <c r="H64" s="3">
        <f t="shared" si="9"/>
        <v>0</v>
      </c>
      <c r="I64" s="3">
        <f t="shared" si="9"/>
        <v>0</v>
      </c>
      <c r="J64" s="3">
        <f t="shared" si="9"/>
        <v>0</v>
      </c>
      <c r="K64" s="3">
        <f t="shared" si="9"/>
        <v>0</v>
      </c>
      <c r="L64" s="3">
        <f t="shared" si="9"/>
        <v>0</v>
      </c>
      <c r="M64" s="3">
        <f t="shared" si="9"/>
        <v>1351</v>
      </c>
      <c r="N64" s="3">
        <f t="shared" si="9"/>
        <v>5000</v>
      </c>
      <c r="O64" s="3">
        <f t="shared" si="9"/>
        <v>60000</v>
      </c>
    </row>
    <row r="65" spans="1:15" ht="30" x14ac:dyDescent="0.4">
      <c r="A65" s="1"/>
      <c r="B65" s="2"/>
      <c r="C65" s="1">
        <v>10</v>
      </c>
      <c r="D65" s="3">
        <f>D30</f>
        <v>0.5</v>
      </c>
      <c r="E65" s="3">
        <f t="shared" ref="E65:O65" si="10">E30</f>
        <v>4050</v>
      </c>
      <c r="F65" s="3">
        <f t="shared" si="10"/>
        <v>405</v>
      </c>
      <c r="G65" s="3">
        <f t="shared" si="10"/>
        <v>4455</v>
      </c>
      <c r="H65" s="3">
        <f t="shared" si="10"/>
        <v>30</v>
      </c>
      <c r="I65" s="3">
        <f t="shared" si="10"/>
        <v>1336.5</v>
      </c>
      <c r="J65" s="3">
        <f t="shared" si="10"/>
        <v>891</v>
      </c>
      <c r="K65" s="3">
        <f t="shared" si="10"/>
        <v>0</v>
      </c>
      <c r="L65" s="3">
        <f t="shared" si="10"/>
        <v>0</v>
      </c>
      <c r="M65" s="3">
        <f t="shared" si="10"/>
        <v>0</v>
      </c>
      <c r="N65" s="3">
        <f t="shared" si="10"/>
        <v>3341.25</v>
      </c>
      <c r="O65" s="3">
        <f t="shared" si="10"/>
        <v>40095</v>
      </c>
    </row>
    <row r="66" spans="1:15" ht="30" x14ac:dyDescent="0.4">
      <c r="A66" s="1"/>
      <c r="B66" s="2"/>
      <c r="C66" s="1">
        <v>11</v>
      </c>
      <c r="D66" s="3">
        <f>D28</f>
        <v>0.5</v>
      </c>
      <c r="E66" s="3">
        <f t="shared" ref="E66:O67" si="11">E28</f>
        <v>4383</v>
      </c>
      <c r="F66" s="3">
        <f t="shared" si="11"/>
        <v>438.3</v>
      </c>
      <c r="G66" s="3">
        <f t="shared" si="11"/>
        <v>4821.3</v>
      </c>
      <c r="H66" s="3">
        <f t="shared" si="11"/>
        <v>10</v>
      </c>
      <c r="I66" s="3">
        <f t="shared" si="11"/>
        <v>482.13</v>
      </c>
      <c r="J66" s="3">
        <f t="shared" si="11"/>
        <v>964.2600000000001</v>
      </c>
      <c r="K66" s="3">
        <f t="shared" si="11"/>
        <v>0</v>
      </c>
      <c r="L66" s="3">
        <f t="shared" si="11"/>
        <v>0</v>
      </c>
      <c r="M66" s="3">
        <f t="shared" si="11"/>
        <v>0</v>
      </c>
      <c r="N66" s="3">
        <f t="shared" si="11"/>
        <v>3133.8450000000003</v>
      </c>
      <c r="O66" s="3">
        <f t="shared" si="11"/>
        <v>37606.14</v>
      </c>
    </row>
    <row r="67" spans="1:15" ht="30" x14ac:dyDescent="0.4">
      <c r="A67" s="1"/>
      <c r="B67" s="2"/>
      <c r="C67" s="1">
        <v>14</v>
      </c>
      <c r="D67" s="3">
        <f>D29</f>
        <v>1</v>
      </c>
      <c r="E67" s="3">
        <f t="shared" si="11"/>
        <v>5385</v>
      </c>
      <c r="F67" s="3">
        <f t="shared" si="11"/>
        <v>538.5</v>
      </c>
      <c r="G67" s="3">
        <f t="shared" si="11"/>
        <v>5923.5</v>
      </c>
      <c r="H67" s="3">
        <f t="shared" si="11"/>
        <v>20</v>
      </c>
      <c r="I67" s="3">
        <f t="shared" si="11"/>
        <v>1184.7</v>
      </c>
      <c r="J67" s="3">
        <f t="shared" si="11"/>
        <v>1184.7</v>
      </c>
      <c r="K67" s="3">
        <f t="shared" si="11"/>
        <v>0</v>
      </c>
      <c r="L67" s="3">
        <f t="shared" si="11"/>
        <v>0</v>
      </c>
      <c r="M67" s="3">
        <f t="shared" si="11"/>
        <v>0</v>
      </c>
      <c r="N67" s="3">
        <f t="shared" si="11"/>
        <v>8292.9</v>
      </c>
      <c r="O67" s="3">
        <f t="shared" si="11"/>
        <v>99514.799999999988</v>
      </c>
    </row>
    <row r="68" spans="1:15" ht="30" x14ac:dyDescent="0.4">
      <c r="A68" s="1"/>
      <c r="B68" s="2"/>
      <c r="C68" s="1">
        <v>16</v>
      </c>
      <c r="D68" s="3">
        <f>D25</f>
        <v>1</v>
      </c>
      <c r="E68" s="3">
        <f t="shared" ref="E68:O69" si="12">E25</f>
        <v>6208</v>
      </c>
      <c r="F68" s="3">
        <f t="shared" si="12"/>
        <v>620.80000000000007</v>
      </c>
      <c r="G68" s="3">
        <f t="shared" si="12"/>
        <v>6828.8</v>
      </c>
      <c r="H68" s="3">
        <f t="shared" si="12"/>
        <v>30</v>
      </c>
      <c r="I68" s="3">
        <f t="shared" si="12"/>
        <v>2048.64</v>
      </c>
      <c r="J68" s="3">
        <f t="shared" si="12"/>
        <v>2048.64</v>
      </c>
      <c r="K68" s="3">
        <f t="shared" si="12"/>
        <v>0</v>
      </c>
      <c r="L68" s="3">
        <f t="shared" si="12"/>
        <v>0</v>
      </c>
      <c r="M68" s="3">
        <f t="shared" si="12"/>
        <v>0</v>
      </c>
      <c r="N68" s="3">
        <f t="shared" si="12"/>
        <v>10926.08</v>
      </c>
      <c r="O68" s="3">
        <f t="shared" si="12"/>
        <v>131112.95999999999</v>
      </c>
    </row>
    <row r="69" spans="1:15" ht="30" x14ac:dyDescent="0.4">
      <c r="A69" s="1"/>
      <c r="B69" s="2"/>
      <c r="C69" s="1" t="s">
        <v>46</v>
      </c>
      <c r="D69" s="3">
        <f>D26</f>
        <v>1.5</v>
      </c>
      <c r="E69" s="3">
        <f t="shared" si="12"/>
        <v>5587.2</v>
      </c>
      <c r="F69" s="3">
        <f t="shared" si="12"/>
        <v>558.72</v>
      </c>
      <c r="G69" s="3">
        <f t="shared" si="12"/>
        <v>6145.92</v>
      </c>
      <c r="H69" s="3">
        <f t="shared" si="12"/>
        <v>30</v>
      </c>
      <c r="I69" s="3">
        <f t="shared" si="12"/>
        <v>1843.7760000000001</v>
      </c>
      <c r="J69" s="3">
        <f t="shared" si="12"/>
        <v>1843.7759999999998</v>
      </c>
      <c r="K69" s="3">
        <f t="shared" si="12"/>
        <v>0</v>
      </c>
      <c r="L69" s="3">
        <f t="shared" si="12"/>
        <v>0</v>
      </c>
      <c r="M69" s="3">
        <f t="shared" si="12"/>
        <v>0</v>
      </c>
      <c r="N69" s="3">
        <f t="shared" si="12"/>
        <v>14750.207999999999</v>
      </c>
      <c r="O69" s="3">
        <f t="shared" si="12"/>
        <v>177002.49599999998</v>
      </c>
    </row>
    <row r="70" spans="1:15" ht="30" x14ac:dyDescent="0.4">
      <c r="A70" s="4"/>
      <c r="B70" s="5"/>
      <c r="C70" s="4" t="s">
        <v>45</v>
      </c>
      <c r="D70" s="6">
        <f>SUM(D59:D69)</f>
        <v>14</v>
      </c>
      <c r="E70" s="6">
        <f t="shared" ref="E70:O70" si="13">SUM(E59:E69)</f>
        <v>50267.199999999997</v>
      </c>
      <c r="F70" s="6">
        <f t="shared" si="13"/>
        <v>2561.3199999999997</v>
      </c>
      <c r="G70" s="6">
        <f t="shared" si="13"/>
        <v>52828.520000000004</v>
      </c>
      <c r="H70" s="6">
        <f t="shared" si="13"/>
        <v>130</v>
      </c>
      <c r="I70" s="6">
        <f t="shared" si="13"/>
        <v>7218.3459999999995</v>
      </c>
      <c r="J70" s="6">
        <f t="shared" si="13"/>
        <v>6932.3760000000002</v>
      </c>
      <c r="K70" s="6">
        <f t="shared" si="13"/>
        <v>1144.0767386091127</v>
      </c>
      <c r="L70" s="6">
        <f t="shared" si="13"/>
        <v>445</v>
      </c>
      <c r="M70" s="6">
        <f t="shared" si="13"/>
        <v>20023.400000000001</v>
      </c>
      <c r="N70" s="6">
        <f t="shared" si="13"/>
        <v>90425.541992805753</v>
      </c>
      <c r="O70" s="6">
        <f t="shared" si="13"/>
        <v>1085106.5039136691</v>
      </c>
    </row>
    <row r="71" spans="1:15" ht="30" x14ac:dyDescent="0.4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26">
    <mergeCell ref="I10:N10"/>
    <mergeCell ref="L11:N11"/>
    <mergeCell ref="A15:O15"/>
    <mergeCell ref="A4:B4"/>
    <mergeCell ref="I4:L4"/>
    <mergeCell ref="A5:D5"/>
    <mergeCell ref="A6:B6"/>
    <mergeCell ref="I6:L6"/>
    <mergeCell ref="A9:E9"/>
    <mergeCell ref="A10:C10"/>
    <mergeCell ref="A19:O19"/>
    <mergeCell ref="B21:B23"/>
    <mergeCell ref="A17:O17"/>
    <mergeCell ref="C21:C23"/>
    <mergeCell ref="D21:D23"/>
    <mergeCell ref="E21:E23"/>
    <mergeCell ref="K21:L21"/>
    <mergeCell ref="O21:O23"/>
    <mergeCell ref="H22:I22"/>
    <mergeCell ref="J22:J23"/>
    <mergeCell ref="L22:L23"/>
    <mergeCell ref="N21:N23"/>
    <mergeCell ref="M21:M23"/>
    <mergeCell ref="F21:F23"/>
    <mergeCell ref="G21:G23"/>
    <mergeCell ref="H21:J21"/>
  </mergeCells>
  <phoneticPr fontId="0" type="noConversion"/>
  <pageMargins left="0.19685039370078741" right="0" top="0" bottom="0" header="0.31496062992125984" footer="0.31496062992125984"/>
  <pageSetup paperSize="9" scale="1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view="pageBreakPreview" topLeftCell="A37" zoomScale="25" zoomScaleNormal="47" zoomScaleSheetLayoutView="25" workbookViewId="0">
      <selection activeCell="D52" sqref="D52"/>
    </sheetView>
  </sheetViews>
  <sheetFormatPr defaultRowHeight="15" x14ac:dyDescent="0.25"/>
  <cols>
    <col min="2" max="2" width="97.140625" customWidth="1"/>
    <col min="3" max="3" width="37.85546875" customWidth="1"/>
    <col min="4" max="4" width="34.7109375" customWidth="1"/>
    <col min="5" max="5" width="46.42578125" customWidth="1"/>
    <col min="6" max="7" width="35" customWidth="1"/>
    <col min="8" max="9" width="28.7109375" customWidth="1"/>
    <col min="10" max="10" width="50.42578125" customWidth="1"/>
    <col min="11" max="11" width="29.85546875" customWidth="1"/>
    <col min="12" max="12" width="28.28515625" customWidth="1"/>
    <col min="13" max="13" width="44.28515625" customWidth="1"/>
    <col min="14" max="14" width="63.7109375" customWidth="1"/>
    <col min="15" max="15" width="55.42578125" customWidth="1"/>
  </cols>
  <sheetData>
    <row r="1" spans="1:15" s="14" customFormat="1" ht="46.5" x14ac:dyDescent="0.7">
      <c r="A1" s="45"/>
      <c r="B1" s="4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8"/>
    </row>
    <row r="2" spans="1:15" s="77" customFormat="1" ht="61.5" x14ac:dyDescent="0.9">
      <c r="A2" s="78"/>
      <c r="B2" s="80" t="s">
        <v>70</v>
      </c>
      <c r="C2" s="67"/>
      <c r="D2" s="67"/>
      <c r="E2" s="67"/>
      <c r="F2" s="67"/>
      <c r="G2" s="67"/>
      <c r="H2" s="67"/>
      <c r="I2" s="78"/>
      <c r="J2" s="78"/>
      <c r="K2" s="78" t="s">
        <v>71</v>
      </c>
      <c r="L2" s="78"/>
      <c r="M2" s="78"/>
      <c r="N2" s="78"/>
      <c r="O2" s="72"/>
    </row>
    <row r="3" spans="1:15" s="14" customFormat="1" ht="46.5" x14ac:dyDescent="0.7">
      <c r="A3" s="45"/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8"/>
    </row>
    <row r="4" spans="1:15" s="14" customFormat="1" ht="59.25" x14ac:dyDescent="0.75">
      <c r="A4" s="133" t="s">
        <v>64</v>
      </c>
      <c r="B4" s="133"/>
      <c r="C4" s="133"/>
      <c r="D4" s="133"/>
      <c r="E4" s="133"/>
      <c r="F4" s="45"/>
      <c r="G4" s="45"/>
      <c r="H4" s="45"/>
      <c r="I4" s="128" t="s">
        <v>2</v>
      </c>
      <c r="J4" s="128"/>
      <c r="K4" s="128"/>
      <c r="L4" s="128"/>
      <c r="M4" s="84"/>
      <c r="N4" s="67">
        <f>D49</f>
        <v>14</v>
      </c>
      <c r="O4" s="45"/>
    </row>
    <row r="5" spans="1:15" s="14" customFormat="1" ht="59.25" x14ac:dyDescent="0.75">
      <c r="A5" s="81" t="s">
        <v>75</v>
      </c>
      <c r="B5" s="81"/>
      <c r="C5" s="81"/>
      <c r="D5" s="82"/>
      <c r="E5" s="82"/>
      <c r="F5" s="45"/>
      <c r="G5" s="45"/>
      <c r="H5" s="45"/>
      <c r="I5" s="72" t="s">
        <v>72</v>
      </c>
      <c r="J5" s="72"/>
      <c r="K5" s="84"/>
      <c r="L5" s="84"/>
      <c r="M5" s="84"/>
      <c r="N5" s="67"/>
      <c r="O5" s="45"/>
    </row>
    <row r="6" spans="1:15" s="14" customFormat="1" ht="59.25" x14ac:dyDescent="0.75">
      <c r="A6" s="131"/>
      <c r="B6" s="131"/>
      <c r="C6" s="83"/>
      <c r="D6" s="82"/>
      <c r="E6" s="82"/>
      <c r="F6" s="45"/>
      <c r="G6" s="45"/>
      <c r="H6" s="45"/>
      <c r="I6" s="128" t="s">
        <v>4</v>
      </c>
      <c r="J6" s="128"/>
      <c r="K6" s="128"/>
      <c r="L6" s="128"/>
      <c r="M6" s="84"/>
      <c r="N6" s="76">
        <f>N49</f>
        <v>109424.88946931408</v>
      </c>
      <c r="O6" s="45"/>
    </row>
    <row r="7" spans="1:15" s="14" customFormat="1" ht="59.25" x14ac:dyDescent="0.75">
      <c r="A7" s="45"/>
      <c r="B7" s="48"/>
      <c r="C7" s="45"/>
      <c r="D7" s="45"/>
      <c r="E7" s="45"/>
      <c r="F7" s="45"/>
      <c r="G7" s="45"/>
      <c r="H7" s="45"/>
      <c r="I7" s="84"/>
      <c r="J7" s="84"/>
      <c r="K7" s="84"/>
      <c r="L7" s="84"/>
      <c r="M7" s="84"/>
      <c r="N7" s="84"/>
      <c r="O7" s="45"/>
    </row>
    <row r="8" spans="1:15" s="14" customFormat="1" ht="59.25" x14ac:dyDescent="0.75">
      <c r="A8" s="45"/>
      <c r="B8" s="73"/>
      <c r="C8" s="45"/>
      <c r="D8" s="45"/>
      <c r="E8" s="45"/>
      <c r="F8" s="45"/>
      <c r="G8" s="45"/>
      <c r="H8" s="45"/>
      <c r="I8" s="84"/>
      <c r="J8" s="84"/>
      <c r="K8" s="84"/>
      <c r="L8" s="84"/>
      <c r="M8" s="84"/>
      <c r="N8" s="84"/>
      <c r="O8" s="45"/>
    </row>
    <row r="9" spans="1:15" s="14" customFormat="1" ht="59.25" x14ac:dyDescent="0.75">
      <c r="A9" s="121"/>
      <c r="B9" s="121"/>
      <c r="C9" s="121"/>
      <c r="D9" s="121"/>
      <c r="E9" s="121"/>
      <c r="F9" s="45"/>
      <c r="G9" s="45"/>
      <c r="H9" s="45"/>
      <c r="I9" s="84" t="s">
        <v>60</v>
      </c>
      <c r="J9" s="84"/>
      <c r="K9" s="84"/>
      <c r="L9" s="84"/>
      <c r="M9" s="84"/>
      <c r="N9" s="84"/>
      <c r="O9" s="45"/>
    </row>
    <row r="10" spans="1:15" s="14" customFormat="1" ht="61.5" x14ac:dyDescent="0.9">
      <c r="A10" s="75"/>
      <c r="B10" s="75"/>
      <c r="C10" s="75"/>
      <c r="D10" s="45"/>
      <c r="E10" s="45"/>
      <c r="F10" s="45"/>
      <c r="G10" s="45"/>
      <c r="H10" s="45"/>
      <c r="I10" s="128"/>
      <c r="J10" s="128"/>
      <c r="K10" s="98"/>
      <c r="L10" s="98"/>
      <c r="M10" s="98"/>
      <c r="N10" s="98"/>
      <c r="O10" s="45"/>
    </row>
    <row r="11" spans="1:15" s="14" customFormat="1" ht="61.5" x14ac:dyDescent="0.9">
      <c r="A11" s="63"/>
      <c r="B11" s="64"/>
      <c r="C11" s="55"/>
      <c r="D11" s="65"/>
      <c r="E11" s="55"/>
      <c r="F11" s="45"/>
      <c r="G11" s="45"/>
      <c r="H11" s="45"/>
      <c r="I11" s="85"/>
      <c r="J11" s="85"/>
      <c r="K11" s="85"/>
      <c r="L11" s="129" t="s">
        <v>76</v>
      </c>
      <c r="M11" s="129"/>
      <c r="N11" s="130"/>
      <c r="O11" s="52"/>
    </row>
    <row r="12" spans="1:15" s="14" customFormat="1" ht="59.25" x14ac:dyDescent="0.75">
      <c r="A12" s="45"/>
      <c r="B12" s="79"/>
      <c r="C12" s="45"/>
      <c r="D12" s="45"/>
      <c r="E12" s="45"/>
      <c r="F12" s="45"/>
      <c r="G12" s="45"/>
      <c r="H12" s="45"/>
      <c r="I12" s="67"/>
      <c r="J12" s="67"/>
      <c r="K12" s="67"/>
      <c r="L12" s="67"/>
      <c r="M12" s="67"/>
      <c r="N12" s="67"/>
      <c r="O12" s="52"/>
    </row>
    <row r="13" spans="1:15" s="14" customFormat="1" ht="59.25" x14ac:dyDescent="0.75">
      <c r="A13" s="45"/>
      <c r="B13" s="48"/>
      <c r="C13" s="132"/>
      <c r="D13" s="132"/>
      <c r="E13" s="132"/>
      <c r="F13" s="45"/>
      <c r="G13" s="45"/>
      <c r="H13" s="45"/>
      <c r="I13" s="67"/>
      <c r="J13" s="67"/>
      <c r="K13" s="84"/>
      <c r="L13" s="84"/>
      <c r="M13" s="84"/>
      <c r="N13" s="84"/>
      <c r="O13" s="52"/>
    </row>
    <row r="14" spans="1:15" s="14" customFormat="1" ht="46.5" x14ac:dyDescent="0.7">
      <c r="A14" s="45"/>
      <c r="B14" s="4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52"/>
    </row>
    <row r="15" spans="1:15" s="14" customFormat="1" ht="61.5" x14ac:dyDescent="0.9">
      <c r="A15" s="92" t="s">
        <v>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s="14" customFormat="1" ht="46.5" x14ac:dyDescent="0.7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2"/>
    </row>
    <row r="17" spans="1:15" s="86" customFormat="1" ht="61.5" x14ac:dyDescent="0.9">
      <c r="A17" s="135" t="s">
        <v>74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14" customFormat="1" ht="60" x14ac:dyDescent="0.8">
      <c r="A18" s="67"/>
      <c r="B18" s="68"/>
      <c r="C18" s="67"/>
      <c r="D18" s="67"/>
      <c r="E18" s="67"/>
      <c r="F18" s="67"/>
      <c r="G18" s="67"/>
      <c r="H18" s="67"/>
      <c r="I18" s="69"/>
      <c r="J18" s="69"/>
      <c r="K18" s="70"/>
      <c r="L18" s="70"/>
      <c r="M18" s="70"/>
      <c r="N18" s="71"/>
      <c r="O18" s="72"/>
    </row>
    <row r="19" spans="1:15" s="14" customFormat="1" ht="61.5" x14ac:dyDescent="0.9">
      <c r="A19" s="134" t="s">
        <v>73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30.75" thickBot="1" x14ac:dyDescent="0.4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4" customFormat="1" ht="54" customHeight="1" x14ac:dyDescent="0.7">
      <c r="A21" s="12" t="s">
        <v>6</v>
      </c>
      <c r="B21" s="94" t="s">
        <v>7</v>
      </c>
      <c r="C21" s="99" t="s">
        <v>8</v>
      </c>
      <c r="D21" s="99" t="s">
        <v>9</v>
      </c>
      <c r="E21" s="99" t="s">
        <v>10</v>
      </c>
      <c r="F21" s="99" t="s">
        <v>69</v>
      </c>
      <c r="G21" s="99" t="s">
        <v>12</v>
      </c>
      <c r="H21" s="118" t="s">
        <v>13</v>
      </c>
      <c r="I21" s="119"/>
      <c r="J21" s="120"/>
      <c r="K21" s="102" t="s">
        <v>14</v>
      </c>
      <c r="L21" s="103"/>
      <c r="M21" s="115" t="s">
        <v>68</v>
      </c>
      <c r="N21" s="113" t="s">
        <v>16</v>
      </c>
      <c r="O21" s="104" t="s">
        <v>17</v>
      </c>
    </row>
    <row r="22" spans="1:15" s="14" customFormat="1" ht="54" customHeight="1" x14ac:dyDescent="0.7">
      <c r="A22" s="15" t="s">
        <v>18</v>
      </c>
      <c r="B22" s="95"/>
      <c r="C22" s="100"/>
      <c r="D22" s="100"/>
      <c r="E22" s="100"/>
      <c r="F22" s="116"/>
      <c r="G22" s="116"/>
      <c r="H22" s="107" t="s">
        <v>19</v>
      </c>
      <c r="I22" s="108"/>
      <c r="J22" s="109" t="s">
        <v>67</v>
      </c>
      <c r="K22" s="16" t="s">
        <v>21</v>
      </c>
      <c r="L22" s="111" t="s">
        <v>22</v>
      </c>
      <c r="M22" s="114"/>
      <c r="N22" s="114"/>
      <c r="O22" s="105"/>
    </row>
    <row r="23" spans="1:15" s="14" customFormat="1" ht="120" customHeight="1" x14ac:dyDescent="0.7">
      <c r="A23" s="17"/>
      <c r="B23" s="96"/>
      <c r="C23" s="101"/>
      <c r="D23" s="101"/>
      <c r="E23" s="101"/>
      <c r="F23" s="117"/>
      <c r="G23" s="117"/>
      <c r="H23" s="17" t="s">
        <v>23</v>
      </c>
      <c r="I23" s="17" t="s">
        <v>24</v>
      </c>
      <c r="J23" s="110"/>
      <c r="K23" s="18" t="s">
        <v>25</v>
      </c>
      <c r="L23" s="112"/>
      <c r="M23" s="112"/>
      <c r="N23" s="112"/>
      <c r="O23" s="106"/>
    </row>
    <row r="24" spans="1:15" s="14" customFormat="1" ht="54" customHeight="1" x14ac:dyDescent="0.7">
      <c r="A24" s="19"/>
      <c r="B24" s="13" t="s">
        <v>26</v>
      </c>
      <c r="C24" s="19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21"/>
      <c r="O24" s="22"/>
    </row>
    <row r="25" spans="1:15" s="14" customFormat="1" ht="72" customHeight="1" x14ac:dyDescent="0.7">
      <c r="A25" s="19" t="s">
        <v>27</v>
      </c>
      <c r="B25" s="23" t="s">
        <v>28</v>
      </c>
      <c r="C25" s="24">
        <v>16</v>
      </c>
      <c r="D25" s="24">
        <v>1</v>
      </c>
      <c r="E25" s="25">
        <v>7449</v>
      </c>
      <c r="F25" s="25">
        <f>E25*0.1</f>
        <v>744.90000000000009</v>
      </c>
      <c r="G25" s="25">
        <f>E25+F25</f>
        <v>8193.9</v>
      </c>
      <c r="H25" s="24">
        <v>30</v>
      </c>
      <c r="I25" s="25">
        <f>G25*H25/100</f>
        <v>2458.17</v>
      </c>
      <c r="J25" s="25">
        <f>G25*0.3</f>
        <v>2458.1699999999996</v>
      </c>
      <c r="K25" s="24"/>
      <c r="L25" s="24"/>
      <c r="M25" s="24"/>
      <c r="N25" s="25">
        <f>(G25+I25+K25+L25+J25+M25)*D25</f>
        <v>13110.24</v>
      </c>
      <c r="O25" s="26">
        <f>N25*12</f>
        <v>157322.88</v>
      </c>
    </row>
    <row r="26" spans="1:15" s="14" customFormat="1" ht="72" customHeight="1" x14ac:dyDescent="0.7">
      <c r="A26" s="27" t="s">
        <v>29</v>
      </c>
      <c r="B26" s="28" t="s">
        <v>55</v>
      </c>
      <c r="C26" s="29">
        <v>0.9</v>
      </c>
      <c r="D26" s="24">
        <v>1.5</v>
      </c>
      <c r="E26" s="25">
        <f>E25*0.9</f>
        <v>6704.1</v>
      </c>
      <c r="F26" s="25">
        <f>E26*0.1</f>
        <v>670.41000000000008</v>
      </c>
      <c r="G26" s="25">
        <f>E26+F26</f>
        <v>7374.51</v>
      </c>
      <c r="H26" s="24">
        <v>30</v>
      </c>
      <c r="I26" s="25">
        <f>G26*H26/100</f>
        <v>2212.3530000000001</v>
      </c>
      <c r="J26" s="25">
        <f>G26*0.3</f>
        <v>2212.3530000000001</v>
      </c>
      <c r="K26" s="24"/>
      <c r="L26" s="24"/>
      <c r="M26" s="24"/>
      <c r="N26" s="25">
        <f>(G26+I26+K26+L26+J26+M26)*D26</f>
        <v>17698.824000000001</v>
      </c>
      <c r="O26" s="26">
        <f>N26*12</f>
        <v>212385.88800000001</v>
      </c>
    </row>
    <row r="27" spans="1:15" s="14" customFormat="1" ht="72" customHeight="1" x14ac:dyDescent="0.7">
      <c r="A27" s="30"/>
      <c r="B27" s="31" t="s">
        <v>53</v>
      </c>
      <c r="C27" s="32"/>
      <c r="D27" s="24"/>
      <c r="E27" s="25"/>
      <c r="F27" s="25"/>
      <c r="G27" s="25"/>
      <c r="H27" s="24"/>
      <c r="I27" s="25"/>
      <c r="J27" s="25"/>
      <c r="K27" s="24"/>
      <c r="L27" s="24"/>
      <c r="M27" s="24"/>
      <c r="N27" s="25"/>
      <c r="O27" s="26"/>
    </row>
    <row r="28" spans="1:15" s="14" customFormat="1" ht="72" customHeight="1" x14ac:dyDescent="0.7">
      <c r="A28" s="27" t="s">
        <v>30</v>
      </c>
      <c r="B28" s="31" t="s">
        <v>31</v>
      </c>
      <c r="C28" s="32">
        <v>11</v>
      </c>
      <c r="D28" s="24">
        <v>0.5</v>
      </c>
      <c r="E28" s="25">
        <v>5260</v>
      </c>
      <c r="F28" s="25">
        <f>E28*0.1</f>
        <v>526</v>
      </c>
      <c r="G28" s="25">
        <f>E28+F28</f>
        <v>5786</v>
      </c>
      <c r="H28" s="24">
        <v>10</v>
      </c>
      <c r="I28" s="25">
        <f>G28*H28/100</f>
        <v>578.6</v>
      </c>
      <c r="J28" s="25">
        <f>G28*0.2</f>
        <v>1157.2</v>
      </c>
      <c r="K28" s="24"/>
      <c r="L28" s="24"/>
      <c r="M28" s="24"/>
      <c r="N28" s="25">
        <f>(G28+I28+K28+L28+J28+M28)*D28</f>
        <v>3760.9</v>
      </c>
      <c r="O28" s="26">
        <f>N28*12</f>
        <v>45130.8</v>
      </c>
    </row>
    <row r="29" spans="1:15" s="14" customFormat="1" ht="72" customHeight="1" x14ac:dyDescent="0.7">
      <c r="A29" s="19" t="s">
        <v>32</v>
      </c>
      <c r="B29" s="23" t="s">
        <v>33</v>
      </c>
      <c r="C29" s="24">
        <v>14</v>
      </c>
      <c r="D29" s="24">
        <v>1</v>
      </c>
      <c r="E29" s="25">
        <v>6461</v>
      </c>
      <c r="F29" s="25">
        <f>E29*0.1</f>
        <v>646.1</v>
      </c>
      <c r="G29" s="25">
        <f>E29+F29</f>
        <v>7107.1</v>
      </c>
      <c r="H29" s="24">
        <v>20</v>
      </c>
      <c r="I29" s="25">
        <f>G29*H29/100</f>
        <v>1421.42</v>
      </c>
      <c r="J29" s="25">
        <f>G29*0.2</f>
        <v>1421.42</v>
      </c>
      <c r="K29" s="24"/>
      <c r="L29" s="24"/>
      <c r="M29" s="24"/>
      <c r="N29" s="25">
        <f>(G29+I29+K29+L29+J29+M29)*D29</f>
        <v>9949.94</v>
      </c>
      <c r="O29" s="26">
        <f>N29*12</f>
        <v>119399.28</v>
      </c>
    </row>
    <row r="30" spans="1:15" s="14" customFormat="1" ht="72" customHeight="1" x14ac:dyDescent="0.7">
      <c r="A30" s="19">
        <v>5</v>
      </c>
      <c r="B30" s="23" t="s">
        <v>34</v>
      </c>
      <c r="C30" s="24">
        <v>10</v>
      </c>
      <c r="D30" s="24">
        <v>0.5</v>
      </c>
      <c r="E30" s="25">
        <v>4859</v>
      </c>
      <c r="F30" s="25">
        <f>E30*0.1</f>
        <v>485.90000000000003</v>
      </c>
      <c r="G30" s="25">
        <f>E30+F30</f>
        <v>5344.9</v>
      </c>
      <c r="H30" s="24">
        <v>30</v>
      </c>
      <c r="I30" s="25">
        <f>G30*H30/100</f>
        <v>1603.47</v>
      </c>
      <c r="J30" s="25">
        <f>G30*0.2</f>
        <v>1068.98</v>
      </c>
      <c r="K30" s="24"/>
      <c r="L30" s="24"/>
      <c r="M30" s="24"/>
      <c r="N30" s="25">
        <f>(G30+I30+K30+L30+J30+M30)*D30</f>
        <v>4008.6750000000002</v>
      </c>
      <c r="O30" s="26">
        <f>N30*12</f>
        <v>48104.100000000006</v>
      </c>
    </row>
    <row r="31" spans="1:15" s="61" customFormat="1" ht="72" customHeight="1" x14ac:dyDescent="0.7">
      <c r="A31" s="60"/>
      <c r="B31" s="34" t="s">
        <v>35</v>
      </c>
      <c r="C31" s="60"/>
      <c r="D31" s="60">
        <f>SUM(D25:D30)</f>
        <v>4.5</v>
      </c>
      <c r="E31" s="36">
        <f>E25*D25+E26*D26+E28*D28+E29*D29+E30*D30</f>
        <v>29025.65</v>
      </c>
      <c r="F31" s="36">
        <f>(F25*D25)+(F26*D26)+(F28*D28)+(F29*D29)+(F30*D30)</f>
        <v>2902.5650000000001</v>
      </c>
      <c r="G31" s="36">
        <f>(G25*D25)+(G26*D26)+(G28*D28)+(G29*D29)+(G30*D30)</f>
        <v>31928.215</v>
      </c>
      <c r="H31" s="60"/>
      <c r="I31" s="36">
        <f>(D25*I25)+(D26*I26)+(D29*I29)+I30*D30+I28*D28</f>
        <v>8289.1545000000006</v>
      </c>
      <c r="J31" s="36">
        <f>J25*D25+J26*D26+J28*D28+J29*D29+J30*D30</f>
        <v>8311.2095000000008</v>
      </c>
      <c r="K31" s="60"/>
      <c r="L31" s="60"/>
      <c r="M31" s="60"/>
      <c r="N31" s="36">
        <f>SUM(N25:N30)</f>
        <v>48528.579000000005</v>
      </c>
      <c r="O31" s="36">
        <f>SUM(O25:O30)</f>
        <v>582342.94799999997</v>
      </c>
    </row>
    <row r="32" spans="1:15" s="14" customFormat="1" ht="72" customHeight="1" x14ac:dyDescent="0.7">
      <c r="A32" s="19"/>
      <c r="B32" s="37" t="s">
        <v>36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4"/>
      <c r="N32" s="25"/>
      <c r="O32" s="38"/>
    </row>
    <row r="33" spans="1:15" s="14" customFormat="1" ht="72" customHeight="1" x14ac:dyDescent="0.7">
      <c r="A33" s="19" t="s">
        <v>27</v>
      </c>
      <c r="B33" s="23" t="s">
        <v>61</v>
      </c>
      <c r="C33" s="24">
        <v>6</v>
      </c>
      <c r="D33" s="24">
        <v>0.5</v>
      </c>
      <c r="E33" s="25">
        <v>3872</v>
      </c>
      <c r="F33" s="25"/>
      <c r="G33" s="25">
        <f>E33</f>
        <v>3872</v>
      </c>
      <c r="H33" s="24">
        <v>10</v>
      </c>
      <c r="I33" s="25">
        <f>E33*H33/100</f>
        <v>387.2</v>
      </c>
      <c r="J33" s="25"/>
      <c r="K33" s="24"/>
      <c r="L33" s="24"/>
      <c r="M33" s="25">
        <f>6000-G33-I33</f>
        <v>1740.8</v>
      </c>
      <c r="N33" s="25">
        <f>(G33+I33+K33+L33+J33+M33)*D33</f>
        <v>3000</v>
      </c>
      <c r="O33" s="26">
        <f>N33*12</f>
        <v>36000</v>
      </c>
    </row>
    <row r="34" spans="1:15" s="14" customFormat="1" ht="72" customHeight="1" x14ac:dyDescent="0.7">
      <c r="A34" s="19" t="s">
        <v>29</v>
      </c>
      <c r="B34" s="28" t="s">
        <v>37</v>
      </c>
      <c r="C34" s="24">
        <v>8</v>
      </c>
      <c r="D34" s="24">
        <v>1</v>
      </c>
      <c r="E34" s="25">
        <v>4379</v>
      </c>
      <c r="F34" s="25"/>
      <c r="G34" s="25">
        <f>E34</f>
        <v>4379</v>
      </c>
      <c r="H34" s="24"/>
      <c r="I34" s="24"/>
      <c r="J34" s="24"/>
      <c r="K34" s="24"/>
      <c r="L34" s="24"/>
      <c r="M34" s="25">
        <f>6000-G34-I34</f>
        <v>1621</v>
      </c>
      <c r="N34" s="25">
        <f>(G34+I34+K34+L34+J34+M34)*D34</f>
        <v>6000</v>
      </c>
      <c r="O34" s="26">
        <f>N34*12</f>
        <v>72000</v>
      </c>
    </row>
    <row r="35" spans="1:15" s="14" customFormat="1" ht="72" customHeight="1" x14ac:dyDescent="0.7">
      <c r="A35" s="19"/>
      <c r="B35" s="31" t="s">
        <v>38</v>
      </c>
      <c r="C35" s="24"/>
      <c r="D35" s="24"/>
      <c r="E35" s="25"/>
      <c r="F35" s="25"/>
      <c r="G35" s="25">
        <f>E35</f>
        <v>0</v>
      </c>
      <c r="H35" s="24"/>
      <c r="I35" s="24"/>
      <c r="J35" s="24"/>
      <c r="K35" s="24"/>
      <c r="L35" s="24"/>
      <c r="M35" s="25"/>
      <c r="N35" s="25"/>
      <c r="O35" s="26"/>
    </row>
    <row r="36" spans="1:15" s="14" customFormat="1" ht="72" customHeight="1" x14ac:dyDescent="0.7">
      <c r="A36" s="19">
        <v>3</v>
      </c>
      <c r="B36" s="39" t="s">
        <v>39</v>
      </c>
      <c r="C36" s="24">
        <v>5</v>
      </c>
      <c r="D36" s="24">
        <v>0.5</v>
      </c>
      <c r="E36" s="25">
        <v>3631</v>
      </c>
      <c r="F36" s="24"/>
      <c r="G36" s="25">
        <f>E36</f>
        <v>3631</v>
      </c>
      <c r="H36" s="24"/>
      <c r="I36" s="24"/>
      <c r="J36" s="24"/>
      <c r="K36" s="24"/>
      <c r="L36" s="24"/>
      <c r="M36" s="25">
        <f>6000-G36-I36</f>
        <v>2369</v>
      </c>
      <c r="N36" s="25">
        <f>(G36+I36+K36+L36+J36+M36)*D36</f>
        <v>3000</v>
      </c>
      <c r="O36" s="26">
        <f>N36*12</f>
        <v>36000</v>
      </c>
    </row>
    <row r="37" spans="1:15" s="61" customFormat="1" ht="54" customHeight="1" x14ac:dyDescent="0.7">
      <c r="A37" s="60"/>
      <c r="B37" s="34" t="s">
        <v>35</v>
      </c>
      <c r="C37" s="60"/>
      <c r="D37" s="60">
        <f>SUM(D33:D36)</f>
        <v>2</v>
      </c>
      <c r="E37" s="36">
        <f>SUM(E33:E36)</f>
        <v>11882</v>
      </c>
      <c r="F37" s="60">
        <f>SUM(F33:F36)</f>
        <v>0</v>
      </c>
      <c r="G37" s="36">
        <f>G33*D33+G34*D34+G36*D36</f>
        <v>8130.5</v>
      </c>
      <c r="H37" s="60">
        <f>SUM(H33:H36)</f>
        <v>10</v>
      </c>
      <c r="I37" s="36">
        <f>I33*D33</f>
        <v>193.6</v>
      </c>
      <c r="J37" s="36"/>
      <c r="K37" s="60">
        <f>SUM(K33:K36)</f>
        <v>0</v>
      </c>
      <c r="L37" s="60">
        <f>SUM(L33:L36)</f>
        <v>0</v>
      </c>
      <c r="M37" s="60">
        <f>M33*D33+M34*D34+M36*D36</f>
        <v>3675.9</v>
      </c>
      <c r="N37" s="36">
        <f>SUM(N33:N36)</f>
        <v>12000</v>
      </c>
      <c r="O37" s="36">
        <f>SUM(O33:O36)</f>
        <v>144000</v>
      </c>
    </row>
    <row r="38" spans="1:15" s="14" customFormat="1" ht="54" customHeight="1" x14ac:dyDescent="0.7">
      <c r="A38" s="27"/>
      <c r="B38" s="37" t="s">
        <v>40</v>
      </c>
      <c r="C38" s="40"/>
      <c r="D38" s="24"/>
      <c r="E38" s="24"/>
      <c r="F38" s="24"/>
      <c r="G38" s="24"/>
      <c r="H38" s="24"/>
      <c r="I38" s="24"/>
      <c r="J38" s="25"/>
      <c r="K38" s="24"/>
      <c r="L38" s="24"/>
      <c r="M38" s="24"/>
      <c r="N38" s="24"/>
      <c r="O38" s="38"/>
    </row>
    <row r="39" spans="1:15" s="14" customFormat="1" ht="96" customHeight="1" x14ac:dyDescent="0.7">
      <c r="A39" s="19">
        <v>1</v>
      </c>
      <c r="B39" s="66" t="s">
        <v>56</v>
      </c>
      <c r="C39" s="24">
        <v>1</v>
      </c>
      <c r="D39" s="24">
        <v>1.5</v>
      </c>
      <c r="E39" s="25">
        <v>2670</v>
      </c>
      <c r="F39" s="25"/>
      <c r="G39" s="25">
        <f>E39</f>
        <v>2670</v>
      </c>
      <c r="H39" s="24"/>
      <c r="I39" s="24"/>
      <c r="J39" s="24"/>
      <c r="K39" s="24"/>
      <c r="L39" s="25">
        <f>E39*0.1</f>
        <v>267</v>
      </c>
      <c r="M39" s="25">
        <f>6000-G39</f>
        <v>3330</v>
      </c>
      <c r="N39" s="25">
        <f>(G39+I39+K39+L39+J39+M39)*D39</f>
        <v>9400.5</v>
      </c>
      <c r="O39" s="26">
        <f>N39*12</f>
        <v>112806</v>
      </c>
    </row>
    <row r="40" spans="1:15" s="14" customFormat="1" ht="54" customHeight="1" x14ac:dyDescent="0.7">
      <c r="A40" s="17"/>
      <c r="B40" s="31"/>
      <c r="C40" s="32"/>
      <c r="D40" s="24"/>
      <c r="E40" s="25"/>
      <c r="F40" s="25"/>
      <c r="G40" s="25">
        <f t="shared" ref="G40:G47" si="0">E40</f>
        <v>0</v>
      </c>
      <c r="H40" s="24"/>
      <c r="I40" s="24"/>
      <c r="J40" s="24"/>
      <c r="K40" s="24"/>
      <c r="L40" s="24"/>
      <c r="M40" s="25"/>
      <c r="N40" s="25"/>
      <c r="O40" s="26"/>
    </row>
    <row r="41" spans="1:15" s="14" customFormat="1" ht="144" customHeight="1" x14ac:dyDescent="0.7">
      <c r="A41" s="27">
        <v>2</v>
      </c>
      <c r="B41" s="42" t="s">
        <v>57</v>
      </c>
      <c r="C41" s="41">
        <v>3</v>
      </c>
      <c r="D41" s="24">
        <v>1</v>
      </c>
      <c r="E41" s="25">
        <v>3151</v>
      </c>
      <c r="F41" s="25"/>
      <c r="G41" s="25">
        <f t="shared" si="0"/>
        <v>3151</v>
      </c>
      <c r="H41" s="24"/>
      <c r="I41" s="24"/>
      <c r="J41" s="24"/>
      <c r="K41" s="24"/>
      <c r="L41" s="24"/>
      <c r="M41" s="25">
        <f t="shared" ref="M41:M47" si="1">6000-G41</f>
        <v>2849</v>
      </c>
      <c r="N41" s="25">
        <f>(G41+I41+K41+L41+J41+M41)*D41</f>
        <v>6000</v>
      </c>
      <c r="O41" s="26">
        <f>N41*12</f>
        <v>72000</v>
      </c>
    </row>
    <row r="42" spans="1:15" s="14" customFormat="1" ht="54" customHeight="1" x14ac:dyDescent="0.7">
      <c r="A42" s="17"/>
      <c r="B42" s="31"/>
      <c r="C42" s="32"/>
      <c r="D42" s="24"/>
      <c r="E42" s="25"/>
      <c r="F42" s="25"/>
      <c r="G42" s="25"/>
      <c r="H42" s="24"/>
      <c r="I42" s="24"/>
      <c r="J42" s="24"/>
      <c r="K42" s="24"/>
      <c r="L42" s="24"/>
      <c r="M42" s="25"/>
      <c r="N42" s="25"/>
      <c r="O42" s="26"/>
    </row>
    <row r="43" spans="1:15" s="14" customFormat="1" ht="120" customHeight="1" x14ac:dyDescent="0.7">
      <c r="A43" s="27">
        <v>3</v>
      </c>
      <c r="B43" s="42" t="s">
        <v>41</v>
      </c>
      <c r="C43" s="41">
        <v>4</v>
      </c>
      <c r="D43" s="24">
        <v>1</v>
      </c>
      <c r="E43" s="25">
        <v>3391</v>
      </c>
      <c r="F43" s="25"/>
      <c r="G43" s="25">
        <f t="shared" si="0"/>
        <v>3391</v>
      </c>
      <c r="H43" s="24"/>
      <c r="I43" s="24"/>
      <c r="J43" s="24"/>
      <c r="K43" s="24"/>
      <c r="L43" s="24"/>
      <c r="M43" s="25">
        <f t="shared" si="1"/>
        <v>2609</v>
      </c>
      <c r="N43" s="25">
        <f>(G43+I43+K43+L43+J43+M43)*D43</f>
        <v>6000</v>
      </c>
      <c r="O43" s="26">
        <f>N43*12</f>
        <v>72000</v>
      </c>
    </row>
    <row r="44" spans="1:15" s="14" customFormat="1" ht="123" customHeight="1" x14ac:dyDescent="0.7">
      <c r="A44" s="27">
        <v>4</v>
      </c>
      <c r="B44" s="42" t="s">
        <v>41</v>
      </c>
      <c r="C44" s="41">
        <v>3</v>
      </c>
      <c r="D44" s="24">
        <v>1.5</v>
      </c>
      <c r="E44" s="25">
        <v>3151</v>
      </c>
      <c r="F44" s="25"/>
      <c r="G44" s="25">
        <f t="shared" si="0"/>
        <v>3151</v>
      </c>
      <c r="H44" s="24"/>
      <c r="I44" s="24"/>
      <c r="J44" s="24"/>
      <c r="K44" s="25">
        <f>E44*0.4/166.2*240/D44</f>
        <v>1213.3814681107101</v>
      </c>
      <c r="L44" s="25"/>
      <c r="M44" s="25">
        <f>6000-G44</f>
        <v>2849</v>
      </c>
      <c r="N44" s="25">
        <f>(G44+I44+K44+L44+J44+M44)*D44</f>
        <v>10820.072202166066</v>
      </c>
      <c r="O44" s="26">
        <f>N44*12</f>
        <v>129840.86642599279</v>
      </c>
    </row>
    <row r="45" spans="1:15" s="14" customFormat="1" ht="81" customHeight="1" x14ac:dyDescent="0.7">
      <c r="A45" s="17"/>
      <c r="B45" s="31" t="s">
        <v>42</v>
      </c>
      <c r="C45" s="32"/>
      <c r="D45" s="24"/>
      <c r="E45" s="25"/>
      <c r="F45" s="25"/>
      <c r="G45" s="25">
        <f t="shared" si="0"/>
        <v>0</v>
      </c>
      <c r="H45" s="24"/>
      <c r="I45" s="24"/>
      <c r="J45" s="24"/>
      <c r="K45" s="24"/>
      <c r="L45" s="24"/>
      <c r="M45" s="25"/>
      <c r="N45" s="25"/>
      <c r="O45" s="26"/>
    </row>
    <row r="46" spans="1:15" s="14" customFormat="1" ht="54" customHeight="1" x14ac:dyDescent="0.7">
      <c r="A46" s="19">
        <v>5</v>
      </c>
      <c r="B46" s="23" t="s">
        <v>43</v>
      </c>
      <c r="C46" s="24">
        <v>1</v>
      </c>
      <c r="D46" s="24">
        <v>2</v>
      </c>
      <c r="E46" s="25">
        <v>2670</v>
      </c>
      <c r="F46" s="25"/>
      <c r="G46" s="25">
        <f t="shared" si="0"/>
        <v>2670</v>
      </c>
      <c r="H46" s="24"/>
      <c r="I46" s="24"/>
      <c r="J46" s="24"/>
      <c r="K46" s="25">
        <f>E46*0.4/166.2*240/D46</f>
        <v>771.11913357400726</v>
      </c>
      <c r="L46" s="25"/>
      <c r="M46" s="25">
        <f t="shared" si="1"/>
        <v>3330</v>
      </c>
      <c r="N46" s="25">
        <f>(G46+I46+K46+L46+J46+M46)*D46</f>
        <v>13542.238267148015</v>
      </c>
      <c r="O46" s="26">
        <f>N46*12</f>
        <v>162506.85920577619</v>
      </c>
    </row>
    <row r="47" spans="1:15" s="14" customFormat="1" ht="54" customHeight="1" x14ac:dyDescent="0.7">
      <c r="A47" s="19">
        <v>6</v>
      </c>
      <c r="B47" s="23" t="s">
        <v>44</v>
      </c>
      <c r="C47" s="24">
        <v>1</v>
      </c>
      <c r="D47" s="24">
        <v>0.5</v>
      </c>
      <c r="E47" s="25">
        <v>2670</v>
      </c>
      <c r="F47" s="25"/>
      <c r="G47" s="25">
        <f t="shared" si="0"/>
        <v>2670</v>
      </c>
      <c r="H47" s="24"/>
      <c r="I47" s="24"/>
      <c r="J47" s="24"/>
      <c r="K47" s="24"/>
      <c r="L47" s="25">
        <f>E47*0.1</f>
        <v>267</v>
      </c>
      <c r="M47" s="25">
        <f t="shared" si="1"/>
        <v>3330</v>
      </c>
      <c r="N47" s="25">
        <f>(G47+I47+K47+L47+J47+M47)*D47</f>
        <v>3133.5</v>
      </c>
      <c r="O47" s="26">
        <f>N47*12</f>
        <v>37602</v>
      </c>
    </row>
    <row r="48" spans="1:15" s="14" customFormat="1" ht="54" customHeight="1" x14ac:dyDescent="0.7">
      <c r="A48" s="33"/>
      <c r="B48" s="34" t="s">
        <v>35</v>
      </c>
      <c r="C48" s="33"/>
      <c r="D48" s="35">
        <f>SUM(D39:D47)</f>
        <v>7.5</v>
      </c>
      <c r="E48" s="35">
        <f>E39*D39+E41*D41+E43*D43+E44*D44+E46*D46+E47*D47</f>
        <v>21948.5</v>
      </c>
      <c r="F48" s="35"/>
      <c r="G48" s="35">
        <f>G39*D39+G41*D41+G43*D43+G44*D44+G46*D46+G47*D47</f>
        <v>21948.5</v>
      </c>
      <c r="H48" s="33"/>
      <c r="I48" s="33"/>
      <c r="J48" s="33"/>
      <c r="K48" s="35">
        <f>(D44*K44)+(D46*K46)</f>
        <v>3362.3104693140795</v>
      </c>
      <c r="L48" s="35">
        <f>L39*D39+L47*D47</f>
        <v>534</v>
      </c>
      <c r="M48" s="35">
        <f>M39*D39+M41*D41+M43*D43+M44*D44+M46*D46+M47*D47</f>
        <v>23051.5</v>
      </c>
      <c r="N48" s="35">
        <f>SUM(N39:N47)</f>
        <v>48896.310469314078</v>
      </c>
      <c r="O48" s="36">
        <f>SUM(O39:O47)</f>
        <v>586755.72563176905</v>
      </c>
    </row>
    <row r="49" spans="1:40" s="91" customFormat="1" ht="96" customHeight="1" x14ac:dyDescent="0.7">
      <c r="A49" s="87"/>
      <c r="B49" s="88" t="s">
        <v>45</v>
      </c>
      <c r="C49" s="89"/>
      <c r="D49" s="90">
        <f>D31+D37+D48</f>
        <v>14</v>
      </c>
      <c r="E49" s="89">
        <f>E31+E37+E48</f>
        <v>62856.15</v>
      </c>
      <c r="F49" s="89">
        <f>F31+F37+F48</f>
        <v>2902.5650000000001</v>
      </c>
      <c r="G49" s="89">
        <f>G31+G37+G48</f>
        <v>62007.214999999997</v>
      </c>
      <c r="H49" s="89"/>
      <c r="I49" s="89">
        <f t="shared" ref="I49:O49" si="2">I31+I37+I48</f>
        <v>8482.7545000000009</v>
      </c>
      <c r="J49" s="89">
        <f t="shared" si="2"/>
        <v>8311.2095000000008</v>
      </c>
      <c r="K49" s="90">
        <f t="shared" si="2"/>
        <v>3362.3104693140795</v>
      </c>
      <c r="L49" s="90">
        <f t="shared" si="2"/>
        <v>534</v>
      </c>
      <c r="M49" s="90">
        <f t="shared" si="2"/>
        <v>26727.4</v>
      </c>
      <c r="N49" s="90">
        <f t="shared" si="2"/>
        <v>109424.88946931408</v>
      </c>
      <c r="O49" s="90">
        <f t="shared" si="2"/>
        <v>1313098.6736317691</v>
      </c>
    </row>
    <row r="50" spans="1:40" s="57" customFormat="1" ht="54" customHeight="1" x14ac:dyDescent="0.7">
      <c r="A50" s="51"/>
      <c r="B50" s="49"/>
      <c r="C50" s="51"/>
      <c r="D50" s="56"/>
      <c r="E50" s="51"/>
      <c r="F50" s="51"/>
      <c r="G50" s="51"/>
      <c r="H50" s="51"/>
      <c r="I50" s="51"/>
      <c r="J50" s="51"/>
      <c r="K50" s="56"/>
      <c r="L50" s="56"/>
      <c r="M50" s="56"/>
      <c r="N50" s="56"/>
      <c r="O50" s="56"/>
    </row>
    <row r="51" spans="1:40" s="57" customFormat="1" ht="54" customHeight="1" x14ac:dyDescent="0.7">
      <c r="A51" s="51"/>
      <c r="B51" s="49"/>
      <c r="C51" s="51"/>
      <c r="D51" s="56"/>
      <c r="E51" s="51"/>
      <c r="F51" s="51"/>
      <c r="G51" s="51"/>
      <c r="H51" s="51"/>
      <c r="I51" s="51"/>
      <c r="J51" s="51"/>
      <c r="K51" s="56"/>
      <c r="L51" s="56"/>
      <c r="M51" s="56"/>
      <c r="N51" s="56"/>
      <c r="O51" s="56"/>
    </row>
    <row r="52" spans="1:40" s="57" customFormat="1" ht="54" customHeight="1" x14ac:dyDescent="0.7">
      <c r="A52" s="51"/>
      <c r="B52" s="49"/>
      <c r="C52" s="51"/>
      <c r="D52" s="56"/>
      <c r="E52" s="51"/>
      <c r="F52" s="51"/>
      <c r="G52" s="51"/>
      <c r="H52" s="51"/>
      <c r="I52" s="51"/>
      <c r="J52" s="51"/>
      <c r="K52" s="56"/>
      <c r="L52" s="56"/>
      <c r="M52" s="56"/>
      <c r="N52" s="56"/>
      <c r="O52" s="56"/>
    </row>
    <row r="53" spans="1:40" s="7" customFormat="1" ht="36" x14ac:dyDescent="0.55000000000000004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40" s="7" customFormat="1" ht="42" customHeight="1" x14ac:dyDescent="0.9">
      <c r="A54" s="8"/>
      <c r="B54" s="9"/>
      <c r="C54" s="67"/>
      <c r="D54" s="67"/>
      <c r="E54" s="67"/>
      <c r="F54" s="67"/>
      <c r="G54" s="67"/>
      <c r="H54" s="67"/>
      <c r="I54" s="67"/>
      <c r="J54" s="76"/>
      <c r="K54" s="67"/>
      <c r="L54" s="76"/>
      <c r="M54" s="76"/>
      <c r="N54" s="67"/>
      <c r="O54" s="72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</row>
    <row r="55" spans="1:40" s="14" customFormat="1" ht="63" customHeight="1" x14ac:dyDescent="0.9">
      <c r="A55" s="45"/>
      <c r="B55" s="46"/>
      <c r="C55" s="74"/>
      <c r="D55" s="74" t="s">
        <v>65</v>
      </c>
      <c r="E55" s="74"/>
      <c r="F55" s="74"/>
      <c r="G55" s="74"/>
      <c r="H55" s="74"/>
      <c r="I55" s="67"/>
      <c r="J55" s="67"/>
      <c r="K55" s="74" t="s">
        <v>66</v>
      </c>
      <c r="L55" s="67"/>
      <c r="M55" s="67"/>
      <c r="N55" s="67"/>
      <c r="O55" s="72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</row>
    <row r="56" spans="1:40" s="14" customFormat="1" ht="46.5" x14ac:dyDescent="0.7">
      <c r="A56" s="45"/>
      <c r="B56" s="48"/>
      <c r="C56" s="45"/>
      <c r="D56" s="45"/>
      <c r="E56" s="45"/>
      <c r="F56" s="45"/>
      <c r="G56" s="45"/>
      <c r="H56" s="45"/>
      <c r="I56" s="47"/>
      <c r="J56" s="47"/>
      <c r="K56" s="47"/>
      <c r="L56" s="47"/>
      <c r="M56" s="47"/>
      <c r="N56" s="47"/>
      <c r="O56" s="48"/>
    </row>
    <row r="57" spans="1:40" s="14" customFormat="1" ht="46.5" x14ac:dyDescent="0.7">
      <c r="A57" s="45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48"/>
    </row>
    <row r="58" spans="1:40" s="7" customFormat="1" ht="36" x14ac:dyDescent="0.55000000000000004">
      <c r="A58" s="8"/>
      <c r="B58" s="9"/>
      <c r="C58" s="8"/>
      <c r="D58" s="8"/>
      <c r="E58" s="8"/>
      <c r="F58" s="8"/>
      <c r="G58" s="8"/>
      <c r="H58" s="8"/>
      <c r="I58" s="11"/>
      <c r="J58" s="11"/>
      <c r="K58" s="11"/>
      <c r="L58" s="11"/>
      <c r="M58" s="11"/>
      <c r="N58" s="11"/>
      <c r="O58" s="9"/>
    </row>
    <row r="59" spans="1:40" ht="30" x14ac:dyDescent="0.4">
      <c r="A59" s="1"/>
      <c r="B59" s="2"/>
      <c r="C59" s="1">
        <v>1</v>
      </c>
      <c r="D59" s="3">
        <f t="shared" ref="D59:O59" si="3">D39+D46+D47</f>
        <v>4</v>
      </c>
      <c r="E59" s="3">
        <f t="shared" si="3"/>
        <v>8010</v>
      </c>
      <c r="F59" s="3">
        <f t="shared" si="3"/>
        <v>0</v>
      </c>
      <c r="G59" s="3">
        <f t="shared" si="3"/>
        <v>8010</v>
      </c>
      <c r="H59" s="3">
        <f t="shared" si="3"/>
        <v>0</v>
      </c>
      <c r="I59" s="3">
        <f t="shared" si="3"/>
        <v>0</v>
      </c>
      <c r="J59" s="3">
        <f t="shared" si="3"/>
        <v>0</v>
      </c>
      <c r="K59" s="3">
        <f t="shared" si="3"/>
        <v>771.11913357400726</v>
      </c>
      <c r="L59" s="3">
        <f t="shared" si="3"/>
        <v>534</v>
      </c>
      <c r="M59" s="3">
        <f t="shared" si="3"/>
        <v>9990</v>
      </c>
      <c r="N59" s="3">
        <f t="shared" si="3"/>
        <v>26076.238267148015</v>
      </c>
      <c r="O59" s="3">
        <f t="shared" si="3"/>
        <v>312914.85920577619</v>
      </c>
    </row>
    <row r="60" spans="1:40" ht="30" x14ac:dyDescent="0.4">
      <c r="A60" s="1"/>
      <c r="B60" s="2"/>
      <c r="C60" s="1">
        <v>3</v>
      </c>
      <c r="D60" s="3">
        <f t="shared" ref="D60:O60" si="4">D41+D44</f>
        <v>2.5</v>
      </c>
      <c r="E60" s="3">
        <f t="shared" si="4"/>
        <v>6302</v>
      </c>
      <c r="F60" s="3">
        <f t="shared" si="4"/>
        <v>0</v>
      </c>
      <c r="G60" s="3">
        <f t="shared" si="4"/>
        <v>6302</v>
      </c>
      <c r="H60" s="3">
        <f t="shared" si="4"/>
        <v>0</v>
      </c>
      <c r="I60" s="3">
        <f t="shared" si="4"/>
        <v>0</v>
      </c>
      <c r="J60" s="3">
        <f t="shared" si="4"/>
        <v>0</v>
      </c>
      <c r="K60" s="3">
        <f t="shared" si="4"/>
        <v>1213.3814681107101</v>
      </c>
      <c r="L60" s="3">
        <f t="shared" si="4"/>
        <v>0</v>
      </c>
      <c r="M60" s="3">
        <f t="shared" si="4"/>
        <v>5698</v>
      </c>
      <c r="N60" s="3">
        <f t="shared" si="4"/>
        <v>16820.072202166066</v>
      </c>
      <c r="O60" s="3">
        <f t="shared" si="4"/>
        <v>201840.8664259928</v>
      </c>
    </row>
    <row r="61" spans="1:40" ht="30" x14ac:dyDescent="0.4">
      <c r="A61" s="1"/>
      <c r="B61" s="2"/>
      <c r="C61" s="1">
        <v>4</v>
      </c>
      <c r="D61" s="3">
        <f t="shared" ref="D61:O61" si="5">D43</f>
        <v>1</v>
      </c>
      <c r="E61" s="3">
        <f t="shared" si="5"/>
        <v>3391</v>
      </c>
      <c r="F61" s="3">
        <f t="shared" si="5"/>
        <v>0</v>
      </c>
      <c r="G61" s="3">
        <f t="shared" si="5"/>
        <v>3391</v>
      </c>
      <c r="H61" s="3">
        <f t="shared" si="5"/>
        <v>0</v>
      </c>
      <c r="I61" s="3">
        <f t="shared" si="5"/>
        <v>0</v>
      </c>
      <c r="J61" s="3">
        <f t="shared" si="5"/>
        <v>0</v>
      </c>
      <c r="K61" s="3">
        <f t="shared" si="5"/>
        <v>0</v>
      </c>
      <c r="L61" s="3">
        <f t="shared" si="5"/>
        <v>0</v>
      </c>
      <c r="M61" s="3">
        <f t="shared" si="5"/>
        <v>2609</v>
      </c>
      <c r="N61" s="3">
        <f t="shared" si="5"/>
        <v>6000</v>
      </c>
      <c r="O61" s="3">
        <f t="shared" si="5"/>
        <v>72000</v>
      </c>
    </row>
    <row r="62" spans="1:40" ht="30" x14ac:dyDescent="0.4">
      <c r="A62" s="1"/>
      <c r="B62" s="2"/>
      <c r="C62" s="1">
        <v>5</v>
      </c>
      <c r="D62" s="3">
        <f t="shared" ref="D62:O62" si="6">D36</f>
        <v>0.5</v>
      </c>
      <c r="E62" s="3">
        <f t="shared" si="6"/>
        <v>3631</v>
      </c>
      <c r="F62" s="3">
        <f t="shared" si="6"/>
        <v>0</v>
      </c>
      <c r="G62" s="3">
        <f t="shared" si="6"/>
        <v>3631</v>
      </c>
      <c r="H62" s="3">
        <f t="shared" si="6"/>
        <v>0</v>
      </c>
      <c r="I62" s="3">
        <f t="shared" si="6"/>
        <v>0</v>
      </c>
      <c r="J62" s="3">
        <f t="shared" si="6"/>
        <v>0</v>
      </c>
      <c r="K62" s="3">
        <f t="shared" si="6"/>
        <v>0</v>
      </c>
      <c r="L62" s="3">
        <f t="shared" si="6"/>
        <v>0</v>
      </c>
      <c r="M62" s="3">
        <f t="shared" si="6"/>
        <v>2369</v>
      </c>
      <c r="N62" s="3">
        <f t="shared" si="6"/>
        <v>3000</v>
      </c>
      <c r="O62" s="3">
        <f t="shared" si="6"/>
        <v>36000</v>
      </c>
    </row>
    <row r="63" spans="1:40" ht="30" x14ac:dyDescent="0.4">
      <c r="A63" s="1"/>
      <c r="B63" s="2"/>
      <c r="C63" s="1">
        <v>6</v>
      </c>
      <c r="D63" s="3">
        <f t="shared" ref="D63:O63" si="7">D33</f>
        <v>0.5</v>
      </c>
      <c r="E63" s="3">
        <f t="shared" si="7"/>
        <v>3872</v>
      </c>
      <c r="F63" s="3">
        <f t="shared" si="7"/>
        <v>0</v>
      </c>
      <c r="G63" s="3">
        <f t="shared" si="7"/>
        <v>3872</v>
      </c>
      <c r="H63" s="3">
        <f t="shared" si="7"/>
        <v>10</v>
      </c>
      <c r="I63" s="3">
        <f t="shared" si="7"/>
        <v>387.2</v>
      </c>
      <c r="J63" s="3">
        <f t="shared" si="7"/>
        <v>0</v>
      </c>
      <c r="K63" s="3">
        <f t="shared" si="7"/>
        <v>0</v>
      </c>
      <c r="L63" s="3">
        <f t="shared" si="7"/>
        <v>0</v>
      </c>
      <c r="M63" s="3">
        <f t="shared" si="7"/>
        <v>1740.8</v>
      </c>
      <c r="N63" s="3">
        <f t="shared" si="7"/>
        <v>3000</v>
      </c>
      <c r="O63" s="3">
        <f t="shared" si="7"/>
        <v>36000</v>
      </c>
    </row>
    <row r="64" spans="1:40" ht="30" x14ac:dyDescent="0.4">
      <c r="A64" s="1"/>
      <c r="B64" s="2"/>
      <c r="C64" s="1">
        <v>8</v>
      </c>
      <c r="D64" s="3">
        <f t="shared" ref="D64:O64" si="8">D34</f>
        <v>1</v>
      </c>
      <c r="E64" s="3">
        <f t="shared" si="8"/>
        <v>4379</v>
      </c>
      <c r="F64" s="3">
        <f t="shared" si="8"/>
        <v>0</v>
      </c>
      <c r="G64" s="3">
        <f t="shared" si="8"/>
        <v>4379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>
        <f t="shared" si="8"/>
        <v>1621</v>
      </c>
      <c r="N64" s="3">
        <f t="shared" si="8"/>
        <v>6000</v>
      </c>
      <c r="O64" s="3">
        <f t="shared" si="8"/>
        <v>72000</v>
      </c>
    </row>
    <row r="65" spans="1:15" ht="30" x14ac:dyDescent="0.4">
      <c r="A65" s="1"/>
      <c r="B65" s="2"/>
      <c r="C65" s="1">
        <v>10</v>
      </c>
      <c r="D65" s="3">
        <f t="shared" ref="D65:O65" si="9">D30</f>
        <v>0.5</v>
      </c>
      <c r="E65" s="3">
        <f t="shared" si="9"/>
        <v>4859</v>
      </c>
      <c r="F65" s="3">
        <f t="shared" si="9"/>
        <v>485.90000000000003</v>
      </c>
      <c r="G65" s="3">
        <f t="shared" si="9"/>
        <v>5344.9</v>
      </c>
      <c r="H65" s="3">
        <f t="shared" si="9"/>
        <v>30</v>
      </c>
      <c r="I65" s="3">
        <f t="shared" si="9"/>
        <v>1603.47</v>
      </c>
      <c r="J65" s="3">
        <f t="shared" si="9"/>
        <v>1068.98</v>
      </c>
      <c r="K65" s="3">
        <f t="shared" si="9"/>
        <v>0</v>
      </c>
      <c r="L65" s="3">
        <f t="shared" si="9"/>
        <v>0</v>
      </c>
      <c r="M65" s="3">
        <f t="shared" si="9"/>
        <v>0</v>
      </c>
      <c r="N65" s="3">
        <f t="shared" si="9"/>
        <v>4008.6750000000002</v>
      </c>
      <c r="O65" s="3">
        <f t="shared" si="9"/>
        <v>48104.100000000006</v>
      </c>
    </row>
    <row r="66" spans="1:15" ht="30" x14ac:dyDescent="0.4">
      <c r="A66" s="1"/>
      <c r="B66" s="2"/>
      <c r="C66" s="1">
        <v>11</v>
      </c>
      <c r="D66" s="3">
        <f t="shared" ref="D66:O66" si="10">D28</f>
        <v>0.5</v>
      </c>
      <c r="E66" s="3">
        <f t="shared" si="10"/>
        <v>5260</v>
      </c>
      <c r="F66" s="3">
        <f t="shared" si="10"/>
        <v>526</v>
      </c>
      <c r="G66" s="3">
        <f t="shared" si="10"/>
        <v>5786</v>
      </c>
      <c r="H66" s="3">
        <f t="shared" si="10"/>
        <v>10</v>
      </c>
      <c r="I66" s="3">
        <f t="shared" si="10"/>
        <v>578.6</v>
      </c>
      <c r="J66" s="3">
        <f t="shared" si="10"/>
        <v>1157.2</v>
      </c>
      <c r="K66" s="3">
        <f t="shared" si="10"/>
        <v>0</v>
      </c>
      <c r="L66" s="3">
        <f t="shared" si="10"/>
        <v>0</v>
      </c>
      <c r="M66" s="3">
        <f t="shared" si="10"/>
        <v>0</v>
      </c>
      <c r="N66" s="3">
        <f t="shared" si="10"/>
        <v>3760.9</v>
      </c>
      <c r="O66" s="3">
        <f t="shared" si="10"/>
        <v>45130.8</v>
      </c>
    </row>
    <row r="67" spans="1:15" ht="30" x14ac:dyDescent="0.4">
      <c r="A67" s="1"/>
      <c r="B67" s="2"/>
      <c r="C67" s="1">
        <v>14</v>
      </c>
      <c r="D67" s="3">
        <f t="shared" ref="D67:O67" si="11">D29</f>
        <v>1</v>
      </c>
      <c r="E67" s="3">
        <f t="shared" si="11"/>
        <v>6461</v>
      </c>
      <c r="F67" s="3">
        <f t="shared" si="11"/>
        <v>646.1</v>
      </c>
      <c r="G67" s="3">
        <f t="shared" si="11"/>
        <v>7107.1</v>
      </c>
      <c r="H67" s="3">
        <f t="shared" si="11"/>
        <v>20</v>
      </c>
      <c r="I67" s="3">
        <f t="shared" si="11"/>
        <v>1421.42</v>
      </c>
      <c r="J67" s="3">
        <f t="shared" si="11"/>
        <v>1421.42</v>
      </c>
      <c r="K67" s="3">
        <f t="shared" si="11"/>
        <v>0</v>
      </c>
      <c r="L67" s="3">
        <f t="shared" si="11"/>
        <v>0</v>
      </c>
      <c r="M67" s="3">
        <f t="shared" si="11"/>
        <v>0</v>
      </c>
      <c r="N67" s="3">
        <f t="shared" si="11"/>
        <v>9949.94</v>
      </c>
      <c r="O67" s="3">
        <f t="shared" si="11"/>
        <v>119399.28</v>
      </c>
    </row>
    <row r="68" spans="1:15" ht="30" x14ac:dyDescent="0.4">
      <c r="A68" s="1"/>
      <c r="B68" s="2"/>
      <c r="C68" s="1">
        <v>16</v>
      </c>
      <c r="D68" s="3">
        <f t="shared" ref="D68:O68" si="12">D25</f>
        <v>1</v>
      </c>
      <c r="E68" s="3">
        <f t="shared" si="12"/>
        <v>7449</v>
      </c>
      <c r="F68" s="3">
        <f t="shared" si="12"/>
        <v>744.90000000000009</v>
      </c>
      <c r="G68" s="3">
        <f t="shared" si="12"/>
        <v>8193.9</v>
      </c>
      <c r="H68" s="3">
        <f t="shared" si="12"/>
        <v>30</v>
      </c>
      <c r="I68" s="3">
        <f t="shared" si="12"/>
        <v>2458.17</v>
      </c>
      <c r="J68" s="3">
        <f t="shared" si="12"/>
        <v>2458.1699999999996</v>
      </c>
      <c r="K68" s="3">
        <f t="shared" si="12"/>
        <v>0</v>
      </c>
      <c r="L68" s="3">
        <f t="shared" si="12"/>
        <v>0</v>
      </c>
      <c r="M68" s="3">
        <f t="shared" si="12"/>
        <v>0</v>
      </c>
      <c r="N68" s="3">
        <f t="shared" si="12"/>
        <v>13110.24</v>
      </c>
      <c r="O68" s="3">
        <f t="shared" si="12"/>
        <v>157322.88</v>
      </c>
    </row>
    <row r="69" spans="1:15" ht="30" x14ac:dyDescent="0.4">
      <c r="A69" s="1"/>
      <c r="B69" s="2"/>
      <c r="C69" s="1" t="s">
        <v>46</v>
      </c>
      <c r="D69" s="3">
        <f t="shared" ref="D69:O69" si="13">D26</f>
        <v>1.5</v>
      </c>
      <c r="E69" s="3">
        <f t="shared" si="13"/>
        <v>6704.1</v>
      </c>
      <c r="F69" s="3">
        <f t="shared" si="13"/>
        <v>670.41000000000008</v>
      </c>
      <c r="G69" s="3">
        <f t="shared" si="13"/>
        <v>7374.51</v>
      </c>
      <c r="H69" s="3">
        <f t="shared" si="13"/>
        <v>30</v>
      </c>
      <c r="I69" s="3">
        <f t="shared" si="13"/>
        <v>2212.3530000000001</v>
      </c>
      <c r="J69" s="3">
        <f t="shared" si="13"/>
        <v>2212.3530000000001</v>
      </c>
      <c r="K69" s="3">
        <f t="shared" si="13"/>
        <v>0</v>
      </c>
      <c r="L69" s="3">
        <f t="shared" si="13"/>
        <v>0</v>
      </c>
      <c r="M69" s="3">
        <f t="shared" si="13"/>
        <v>0</v>
      </c>
      <c r="N69" s="3">
        <f t="shared" si="13"/>
        <v>17698.824000000001</v>
      </c>
      <c r="O69" s="3">
        <f t="shared" si="13"/>
        <v>212385.88800000001</v>
      </c>
    </row>
    <row r="70" spans="1:15" ht="30" x14ac:dyDescent="0.4">
      <c r="A70" s="4"/>
      <c r="B70" s="5"/>
      <c r="C70" s="4" t="s">
        <v>45</v>
      </c>
      <c r="D70" s="6">
        <f t="shared" ref="D70:O70" si="14">SUM(D59:D69)</f>
        <v>14</v>
      </c>
      <c r="E70" s="6">
        <f t="shared" si="14"/>
        <v>60318.1</v>
      </c>
      <c r="F70" s="6">
        <f t="shared" si="14"/>
        <v>3073.3100000000004</v>
      </c>
      <c r="G70" s="6">
        <f t="shared" si="14"/>
        <v>63391.41</v>
      </c>
      <c r="H70" s="6">
        <f t="shared" si="14"/>
        <v>130</v>
      </c>
      <c r="I70" s="6">
        <f t="shared" si="14"/>
        <v>8661.2129999999997</v>
      </c>
      <c r="J70" s="6">
        <f t="shared" si="14"/>
        <v>8318.1229999999996</v>
      </c>
      <c r="K70" s="6">
        <f t="shared" si="14"/>
        <v>1984.5006016847174</v>
      </c>
      <c r="L70" s="6">
        <f t="shared" si="14"/>
        <v>534</v>
      </c>
      <c r="M70" s="6">
        <f t="shared" si="14"/>
        <v>24027.8</v>
      </c>
      <c r="N70" s="6">
        <f t="shared" si="14"/>
        <v>109424.88946931408</v>
      </c>
      <c r="O70" s="6">
        <f t="shared" si="14"/>
        <v>1313098.6736317691</v>
      </c>
    </row>
    <row r="71" spans="1:15" ht="30" x14ac:dyDescent="0.4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25">
    <mergeCell ref="A19:O19"/>
    <mergeCell ref="B21:B23"/>
    <mergeCell ref="A17:O17"/>
    <mergeCell ref="C21:C23"/>
    <mergeCell ref="D21:D23"/>
    <mergeCell ref="E21:E23"/>
    <mergeCell ref="K21:L21"/>
    <mergeCell ref="O21:O23"/>
    <mergeCell ref="H22:I22"/>
    <mergeCell ref="J22:J23"/>
    <mergeCell ref="L22:L23"/>
    <mergeCell ref="N21:N23"/>
    <mergeCell ref="M21:M23"/>
    <mergeCell ref="F21:F23"/>
    <mergeCell ref="G21:G23"/>
    <mergeCell ref="H21:J21"/>
    <mergeCell ref="I10:N10"/>
    <mergeCell ref="L11:N11"/>
    <mergeCell ref="A15:O15"/>
    <mergeCell ref="I4:L4"/>
    <mergeCell ref="A6:B6"/>
    <mergeCell ref="I6:L6"/>
    <mergeCell ref="A9:E9"/>
    <mergeCell ref="C13:E13"/>
    <mergeCell ref="A4:E4"/>
  </mergeCells>
  <phoneticPr fontId="0" type="noConversion"/>
  <pageMargins left="0.23622047244094491" right="0.23622047244094491" top="0" bottom="0.15748031496062992" header="0.19685039370078741" footer="0.11811023622047245"/>
  <pageSetup paperSize="9" scale="16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topLeftCell="A27" zoomScale="25" zoomScaleNormal="47" workbookViewId="0">
      <selection activeCell="M41" sqref="M41"/>
    </sheetView>
  </sheetViews>
  <sheetFormatPr defaultRowHeight="15" x14ac:dyDescent="0.25"/>
  <cols>
    <col min="2" max="2" width="97.140625" customWidth="1"/>
    <col min="3" max="3" width="33.85546875" customWidth="1"/>
    <col min="4" max="4" width="34.7109375" customWidth="1"/>
    <col min="5" max="5" width="46.42578125" customWidth="1"/>
    <col min="6" max="7" width="35" customWidth="1"/>
    <col min="8" max="9" width="28.7109375" customWidth="1"/>
    <col min="10" max="10" width="40.7109375" customWidth="1"/>
    <col min="11" max="11" width="29.85546875" customWidth="1"/>
    <col min="12" max="12" width="28.28515625" customWidth="1"/>
    <col min="13" max="13" width="44.28515625" customWidth="1"/>
    <col min="14" max="14" width="63.7109375" customWidth="1"/>
    <col min="15" max="15" width="55.42578125" hidden="1" customWidth="1"/>
  </cols>
  <sheetData>
    <row r="1" spans="1:15" s="14" customFormat="1" ht="46.5" x14ac:dyDescent="0.7">
      <c r="A1" s="45"/>
      <c r="B1" s="4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8"/>
    </row>
    <row r="2" spans="1:15" s="14" customFormat="1" ht="46.5" x14ac:dyDescent="0.7">
      <c r="A2" s="47"/>
      <c r="B2" s="46" t="s">
        <v>0</v>
      </c>
      <c r="C2" s="45"/>
      <c r="D2" s="45"/>
      <c r="E2" s="45"/>
      <c r="F2" s="45"/>
      <c r="G2" s="45"/>
      <c r="H2" s="45"/>
      <c r="I2" s="47"/>
      <c r="J2" s="47"/>
      <c r="K2" s="47" t="s">
        <v>1</v>
      </c>
      <c r="L2" s="47"/>
      <c r="M2" s="47"/>
      <c r="N2" s="47"/>
      <c r="O2" s="48"/>
    </row>
    <row r="3" spans="1:15" s="14" customFormat="1" ht="46.5" x14ac:dyDescent="0.7">
      <c r="A3" s="45"/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8"/>
    </row>
    <row r="4" spans="1:15" s="14" customFormat="1" ht="46.5" x14ac:dyDescent="0.7">
      <c r="A4" s="125" t="s">
        <v>2</v>
      </c>
      <c r="B4" s="125"/>
      <c r="C4" s="45">
        <f>D49</f>
        <v>14</v>
      </c>
      <c r="D4" s="45"/>
      <c r="E4" s="45"/>
      <c r="F4" s="45"/>
      <c r="G4" s="45"/>
      <c r="H4" s="45"/>
      <c r="I4" s="126" t="s">
        <v>2</v>
      </c>
      <c r="J4" s="126"/>
      <c r="K4" s="126"/>
      <c r="L4" s="126"/>
      <c r="M4" s="52"/>
      <c r="N4" s="45">
        <f>D49</f>
        <v>14</v>
      </c>
      <c r="O4" s="45"/>
    </row>
    <row r="5" spans="1:15" s="14" customFormat="1" ht="46.5" x14ac:dyDescent="0.7">
      <c r="A5" s="126" t="s">
        <v>3</v>
      </c>
      <c r="B5" s="127"/>
      <c r="C5" s="127"/>
      <c r="D5" s="127"/>
      <c r="E5" s="45"/>
      <c r="F5" s="45"/>
      <c r="G5" s="45"/>
      <c r="H5" s="45"/>
      <c r="I5" s="48" t="s">
        <v>3</v>
      </c>
      <c r="J5" s="48"/>
      <c r="K5" s="52"/>
      <c r="L5" s="52"/>
      <c r="M5" s="52"/>
      <c r="N5" s="45"/>
      <c r="O5" s="45"/>
    </row>
    <row r="6" spans="1:15" s="14" customFormat="1" ht="46.5" x14ac:dyDescent="0.7">
      <c r="A6" s="125" t="s">
        <v>4</v>
      </c>
      <c r="B6" s="125"/>
      <c r="C6" s="53">
        <f>N6</f>
        <v>117557.68801438849</v>
      </c>
      <c r="D6" s="45"/>
      <c r="E6" s="45"/>
      <c r="F6" s="45"/>
      <c r="G6" s="45"/>
      <c r="H6" s="45"/>
      <c r="I6" s="126" t="s">
        <v>4</v>
      </c>
      <c r="J6" s="126"/>
      <c r="K6" s="126"/>
      <c r="L6" s="126"/>
      <c r="M6" s="52"/>
      <c r="N6" s="53">
        <f>N49</f>
        <v>117557.68801438849</v>
      </c>
      <c r="O6" s="45"/>
    </row>
    <row r="7" spans="1:15" s="14" customFormat="1" ht="46.5" x14ac:dyDescent="0.7">
      <c r="A7" s="45"/>
      <c r="B7" s="48"/>
      <c r="C7" s="45"/>
      <c r="D7" s="45"/>
      <c r="E7" s="45"/>
      <c r="F7" s="45"/>
      <c r="G7" s="45"/>
      <c r="H7" s="45"/>
      <c r="I7" s="52"/>
      <c r="J7" s="52"/>
      <c r="K7" s="52"/>
      <c r="L7" s="52"/>
      <c r="M7" s="52"/>
      <c r="N7" s="52"/>
      <c r="O7" s="45"/>
    </row>
    <row r="8" spans="1:15" s="14" customFormat="1" ht="46.5" x14ac:dyDescent="0.7">
      <c r="A8" s="45"/>
      <c r="B8" s="73"/>
      <c r="C8" s="45"/>
      <c r="D8" s="45"/>
      <c r="E8" s="45"/>
      <c r="F8" s="45"/>
      <c r="G8" s="45"/>
      <c r="H8" s="45"/>
      <c r="I8" s="52"/>
      <c r="J8" s="52"/>
      <c r="K8" s="52"/>
      <c r="L8" s="52"/>
      <c r="M8" s="52"/>
      <c r="N8" s="52"/>
      <c r="O8" s="45"/>
    </row>
    <row r="9" spans="1:15" s="14" customFormat="1" ht="46.5" x14ac:dyDescent="0.7">
      <c r="A9" s="121" t="s">
        <v>59</v>
      </c>
      <c r="B9" s="121"/>
      <c r="C9" s="121"/>
      <c r="D9" s="121"/>
      <c r="E9" s="121"/>
      <c r="F9" s="45"/>
      <c r="G9" s="45"/>
      <c r="H9" s="45"/>
      <c r="I9" s="54" t="s">
        <v>60</v>
      </c>
      <c r="J9" s="54"/>
      <c r="K9" s="54"/>
      <c r="L9" s="54"/>
      <c r="M9" s="54"/>
      <c r="N9" s="54"/>
      <c r="O9" s="45"/>
    </row>
    <row r="10" spans="1:15" s="14" customFormat="1" ht="46.5" x14ac:dyDescent="0.7">
      <c r="A10" s="121" t="s">
        <v>58</v>
      </c>
      <c r="B10" s="121"/>
      <c r="C10" s="121"/>
      <c r="D10" s="45"/>
      <c r="E10" s="45"/>
      <c r="F10" s="45"/>
      <c r="G10" s="45"/>
      <c r="H10" s="45"/>
      <c r="I10" s="121"/>
      <c r="J10" s="121"/>
      <c r="K10" s="122"/>
      <c r="L10" s="122"/>
      <c r="M10" s="122"/>
      <c r="N10" s="122"/>
      <c r="O10" s="45"/>
    </row>
    <row r="11" spans="1:15" s="14" customFormat="1" ht="46.5" x14ac:dyDescent="0.7">
      <c r="A11" s="63"/>
      <c r="B11" s="64"/>
      <c r="C11" s="55"/>
      <c r="D11" s="65"/>
      <c r="E11" s="55"/>
      <c r="F11" s="45"/>
      <c r="G11" s="45"/>
      <c r="H11" s="45"/>
      <c r="I11" s="62"/>
      <c r="J11" s="62"/>
      <c r="K11" s="62"/>
      <c r="L11" s="123" t="s">
        <v>52</v>
      </c>
      <c r="M11" s="123"/>
      <c r="N11" s="124"/>
      <c r="O11" s="52"/>
    </row>
    <row r="12" spans="1:15" s="14" customFormat="1" ht="46.5" x14ac:dyDescent="0.7">
      <c r="A12" s="45"/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52"/>
    </row>
    <row r="13" spans="1:15" s="14" customFormat="1" ht="46.5" x14ac:dyDescent="0.7">
      <c r="A13" s="45"/>
      <c r="B13" s="48"/>
      <c r="C13" s="45"/>
      <c r="D13" s="45"/>
      <c r="E13" s="45"/>
      <c r="F13" s="45"/>
      <c r="G13" s="45"/>
      <c r="H13" s="45"/>
      <c r="I13" s="45"/>
      <c r="J13" s="45"/>
      <c r="K13" s="52"/>
      <c r="L13" s="52" t="s">
        <v>54</v>
      </c>
      <c r="M13" s="52"/>
      <c r="N13" s="52"/>
      <c r="O13" s="52"/>
    </row>
    <row r="14" spans="1:15" s="14" customFormat="1" ht="46.5" x14ac:dyDescent="0.7">
      <c r="A14" s="45"/>
      <c r="B14" s="4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52"/>
    </row>
    <row r="15" spans="1:15" s="14" customFormat="1" ht="61.5" x14ac:dyDescent="0.9">
      <c r="A15" s="92" t="s">
        <v>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s="14" customFormat="1" ht="46.5" x14ac:dyDescent="0.7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2"/>
    </row>
    <row r="17" spans="1:15" s="14" customFormat="1" ht="61.5" x14ac:dyDescent="0.9">
      <c r="A17" s="97" t="s">
        <v>62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s="14" customFormat="1" ht="60" x14ac:dyDescent="0.8">
      <c r="A18" s="67"/>
      <c r="B18" s="68"/>
      <c r="C18" s="67"/>
      <c r="D18" s="67"/>
      <c r="E18" s="67"/>
      <c r="F18" s="67"/>
      <c r="G18" s="67"/>
      <c r="H18" s="67"/>
      <c r="I18" s="69"/>
      <c r="J18" s="69"/>
      <c r="K18" s="70"/>
      <c r="L18" s="70"/>
      <c r="M18" s="70"/>
      <c r="N18" s="71"/>
      <c r="O18" s="72"/>
    </row>
    <row r="19" spans="1:15" s="14" customFormat="1" ht="61.5" x14ac:dyDescent="0.9">
      <c r="A19" s="92" t="s">
        <v>63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30.75" thickBot="1" x14ac:dyDescent="0.4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4" customFormat="1" ht="54" customHeight="1" x14ac:dyDescent="0.7">
      <c r="A21" s="12" t="s">
        <v>6</v>
      </c>
      <c r="B21" s="94" t="s">
        <v>7</v>
      </c>
      <c r="C21" s="99" t="s">
        <v>8</v>
      </c>
      <c r="D21" s="99" t="s">
        <v>9</v>
      </c>
      <c r="E21" s="99" t="s">
        <v>10</v>
      </c>
      <c r="F21" s="99" t="s">
        <v>11</v>
      </c>
      <c r="G21" s="99" t="s">
        <v>12</v>
      </c>
      <c r="H21" s="118" t="s">
        <v>13</v>
      </c>
      <c r="I21" s="119"/>
      <c r="J21" s="120"/>
      <c r="K21" s="102" t="s">
        <v>14</v>
      </c>
      <c r="L21" s="103"/>
      <c r="M21" s="115" t="s">
        <v>15</v>
      </c>
      <c r="N21" s="113" t="s">
        <v>16</v>
      </c>
      <c r="O21" s="104" t="s">
        <v>17</v>
      </c>
    </row>
    <row r="22" spans="1:15" s="14" customFormat="1" ht="54" customHeight="1" x14ac:dyDescent="0.7">
      <c r="A22" s="15" t="s">
        <v>18</v>
      </c>
      <c r="B22" s="95"/>
      <c r="C22" s="100"/>
      <c r="D22" s="100"/>
      <c r="E22" s="100"/>
      <c r="F22" s="116"/>
      <c r="G22" s="116"/>
      <c r="H22" s="107" t="s">
        <v>19</v>
      </c>
      <c r="I22" s="108"/>
      <c r="J22" s="109" t="s">
        <v>20</v>
      </c>
      <c r="K22" s="16" t="s">
        <v>21</v>
      </c>
      <c r="L22" s="111" t="s">
        <v>22</v>
      </c>
      <c r="M22" s="114"/>
      <c r="N22" s="114"/>
      <c r="O22" s="105"/>
    </row>
    <row r="23" spans="1:15" s="14" customFormat="1" ht="120" customHeight="1" x14ac:dyDescent="0.7">
      <c r="A23" s="17"/>
      <c r="B23" s="96"/>
      <c r="C23" s="101"/>
      <c r="D23" s="101"/>
      <c r="E23" s="101"/>
      <c r="F23" s="117"/>
      <c r="G23" s="117"/>
      <c r="H23" s="17" t="s">
        <v>23</v>
      </c>
      <c r="I23" s="17" t="s">
        <v>24</v>
      </c>
      <c r="J23" s="110"/>
      <c r="K23" s="18" t="s">
        <v>25</v>
      </c>
      <c r="L23" s="112"/>
      <c r="M23" s="112"/>
      <c r="N23" s="112"/>
      <c r="O23" s="106"/>
    </row>
    <row r="24" spans="1:15" s="14" customFormat="1" ht="54" customHeight="1" x14ac:dyDescent="0.7">
      <c r="A24" s="19"/>
      <c r="B24" s="13" t="s">
        <v>26</v>
      </c>
      <c r="C24" s="19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21"/>
      <c r="O24" s="22"/>
    </row>
    <row r="25" spans="1:15" s="14" customFormat="1" ht="72" customHeight="1" x14ac:dyDescent="0.7">
      <c r="A25" s="19" t="s">
        <v>27</v>
      </c>
      <c r="B25" s="23" t="s">
        <v>28</v>
      </c>
      <c r="C25" s="24">
        <v>16</v>
      </c>
      <c r="D25" s="24">
        <v>1</v>
      </c>
      <c r="E25" s="25">
        <v>8071</v>
      </c>
      <c r="F25" s="25">
        <f>E25*0.1</f>
        <v>807.1</v>
      </c>
      <c r="G25" s="25">
        <f>E25+F25</f>
        <v>8878.1</v>
      </c>
      <c r="H25" s="24">
        <v>30</v>
      </c>
      <c r="I25" s="25">
        <f>G25*H25/100</f>
        <v>2663.43</v>
      </c>
      <c r="J25" s="25">
        <f>G25*0.3</f>
        <v>2663.43</v>
      </c>
      <c r="K25" s="24"/>
      <c r="L25" s="24"/>
      <c r="M25" s="24"/>
      <c r="N25" s="25">
        <f>(G25+I25+K25+L25+J25+M25)*D25</f>
        <v>14204.960000000001</v>
      </c>
      <c r="O25" s="26">
        <f>N25*12</f>
        <v>170459.52000000002</v>
      </c>
    </row>
    <row r="26" spans="1:15" s="14" customFormat="1" ht="72" customHeight="1" x14ac:dyDescent="0.7">
      <c r="A26" s="27" t="s">
        <v>29</v>
      </c>
      <c r="B26" s="28" t="s">
        <v>55</v>
      </c>
      <c r="C26" s="29">
        <v>0.9</v>
      </c>
      <c r="D26" s="24">
        <v>1.5</v>
      </c>
      <c r="E26" s="25">
        <f>E25*0.9</f>
        <v>7263.9000000000005</v>
      </c>
      <c r="F26" s="25">
        <f>E26*0.1</f>
        <v>726.3900000000001</v>
      </c>
      <c r="G26" s="25">
        <f>E26+F26</f>
        <v>7990.2900000000009</v>
      </c>
      <c r="H26" s="24">
        <v>30</v>
      </c>
      <c r="I26" s="25">
        <f>G26*H26/100</f>
        <v>2397.087</v>
      </c>
      <c r="J26" s="25">
        <f>G26*0.3</f>
        <v>2397.087</v>
      </c>
      <c r="K26" s="24"/>
      <c r="L26" s="24"/>
      <c r="M26" s="24"/>
      <c r="N26" s="25">
        <f>(G26+I26+K26+L26+J26+M26)*D26</f>
        <v>19176.696</v>
      </c>
      <c r="O26" s="26">
        <f>N26*12</f>
        <v>230120.35200000001</v>
      </c>
    </row>
    <row r="27" spans="1:15" s="14" customFormat="1" ht="72" customHeight="1" x14ac:dyDescent="0.7">
      <c r="A27" s="30"/>
      <c r="B27" s="31" t="s">
        <v>53</v>
      </c>
      <c r="C27" s="32"/>
      <c r="D27" s="24"/>
      <c r="E27" s="25"/>
      <c r="F27" s="25"/>
      <c r="G27" s="25"/>
      <c r="H27" s="24"/>
      <c r="I27" s="25"/>
      <c r="J27" s="25"/>
      <c r="K27" s="24"/>
      <c r="L27" s="24"/>
      <c r="M27" s="24"/>
      <c r="N27" s="25"/>
      <c r="O27" s="26"/>
    </row>
    <row r="28" spans="1:15" s="14" customFormat="1" ht="72" customHeight="1" x14ac:dyDescent="0.7">
      <c r="A28" s="27" t="s">
        <v>30</v>
      </c>
      <c r="B28" s="31" t="s">
        <v>31</v>
      </c>
      <c r="C28" s="32">
        <v>11</v>
      </c>
      <c r="D28" s="24">
        <v>0.5</v>
      </c>
      <c r="E28" s="25">
        <v>5699</v>
      </c>
      <c r="F28" s="25">
        <f>E28*0.1</f>
        <v>569.9</v>
      </c>
      <c r="G28" s="25">
        <f>E28+F28</f>
        <v>6268.9</v>
      </c>
      <c r="H28" s="24">
        <v>10</v>
      </c>
      <c r="I28" s="25">
        <f>G28*H28/100</f>
        <v>626.89</v>
      </c>
      <c r="J28" s="25">
        <f>G28*0.2</f>
        <v>1253.78</v>
      </c>
      <c r="K28" s="24"/>
      <c r="L28" s="24"/>
      <c r="M28" s="24"/>
      <c r="N28" s="25">
        <f>(G28+I28+K28+L28+J28+M28)*D28</f>
        <v>4074.7849999999999</v>
      </c>
      <c r="O28" s="26">
        <f>N28*12</f>
        <v>48897.42</v>
      </c>
    </row>
    <row r="29" spans="1:15" s="14" customFormat="1" ht="72" customHeight="1" x14ac:dyDescent="0.7">
      <c r="A29" s="19" t="s">
        <v>32</v>
      </c>
      <c r="B29" s="23" t="s">
        <v>33</v>
      </c>
      <c r="C29" s="24">
        <v>14</v>
      </c>
      <c r="D29" s="24">
        <v>1</v>
      </c>
      <c r="E29" s="25">
        <v>7001</v>
      </c>
      <c r="F29" s="25">
        <f>E29*0.1</f>
        <v>700.1</v>
      </c>
      <c r="G29" s="25">
        <f>E29+F29</f>
        <v>7701.1</v>
      </c>
      <c r="H29" s="24">
        <v>20</v>
      </c>
      <c r="I29" s="25">
        <f>G29*H29/100</f>
        <v>1540.22</v>
      </c>
      <c r="J29" s="25">
        <f>G29*0.2</f>
        <v>1540.2200000000003</v>
      </c>
      <c r="K29" s="24"/>
      <c r="L29" s="24"/>
      <c r="M29" s="24"/>
      <c r="N29" s="25">
        <f>(G29+I29+K29+L29+J29+M29)*D29</f>
        <v>10781.54</v>
      </c>
      <c r="O29" s="26">
        <f>N29*12</f>
        <v>129378.48000000001</v>
      </c>
    </row>
    <row r="30" spans="1:15" s="14" customFormat="1" ht="72" customHeight="1" x14ac:dyDescent="0.7">
      <c r="A30" s="19">
        <v>5</v>
      </c>
      <c r="B30" s="23" t="s">
        <v>34</v>
      </c>
      <c r="C30" s="24">
        <v>10</v>
      </c>
      <c r="D30" s="24">
        <v>0.5</v>
      </c>
      <c r="E30" s="25">
        <v>5265</v>
      </c>
      <c r="F30" s="25">
        <f>E30*0.1</f>
        <v>526.5</v>
      </c>
      <c r="G30" s="25">
        <f>E30+F30</f>
        <v>5791.5</v>
      </c>
      <c r="H30" s="24">
        <v>30</v>
      </c>
      <c r="I30" s="25">
        <f>G30*H30/100</f>
        <v>1737.45</v>
      </c>
      <c r="J30" s="25">
        <f>G30*0.2</f>
        <v>1158.3</v>
      </c>
      <c r="K30" s="24"/>
      <c r="L30" s="24"/>
      <c r="M30" s="24"/>
      <c r="N30" s="25">
        <f>(G30+I30+K30+L30+J30+M30)*D30</f>
        <v>4343.625</v>
      </c>
      <c r="O30" s="26">
        <f>N30*12</f>
        <v>52123.5</v>
      </c>
    </row>
    <row r="31" spans="1:15" s="61" customFormat="1" ht="72" customHeight="1" x14ac:dyDescent="0.7">
      <c r="A31" s="60"/>
      <c r="B31" s="34" t="s">
        <v>35</v>
      </c>
      <c r="C31" s="60"/>
      <c r="D31" s="60">
        <f>SUM(D25:D30)</f>
        <v>4.5</v>
      </c>
      <c r="E31" s="36">
        <f>E25*D25+E26*D26+E28*D28+E29*D29+E30*D30</f>
        <v>31449.85</v>
      </c>
      <c r="F31" s="36">
        <f>(F25*D25)+(F26*D26)+(F28*D28)+(F29*D29)+(F30*D30)</f>
        <v>3144.9849999999997</v>
      </c>
      <c r="G31" s="36">
        <f>(G25*D25)+(G26*D26)+(G28*D28)+(G29*D29)+(G30*D30)</f>
        <v>34594.835000000006</v>
      </c>
      <c r="H31" s="60"/>
      <c r="I31" s="36">
        <f>(D25*I25)+(D26*I26)+(D29*I29)+I30*D30+I28*D28</f>
        <v>8981.450499999999</v>
      </c>
      <c r="J31" s="36">
        <f>J25*D25+J26*D26+J28*D28+J29*D29+J30*D30</f>
        <v>9005.3204999999998</v>
      </c>
      <c r="K31" s="60"/>
      <c r="L31" s="60"/>
      <c r="M31" s="60"/>
      <c r="N31" s="36">
        <f>SUM(N25:N30)</f>
        <v>52581.606000000007</v>
      </c>
      <c r="O31" s="36">
        <f>SUM(O25:O30)</f>
        <v>630979.272</v>
      </c>
    </row>
    <row r="32" spans="1:15" s="14" customFormat="1" ht="72" customHeight="1" x14ac:dyDescent="0.7">
      <c r="A32" s="19"/>
      <c r="B32" s="37" t="s">
        <v>36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4"/>
      <c r="N32" s="25"/>
      <c r="O32" s="38"/>
    </row>
    <row r="33" spans="1:15" s="14" customFormat="1" ht="72" customHeight="1" x14ac:dyDescent="0.7">
      <c r="A33" s="19" t="s">
        <v>27</v>
      </c>
      <c r="B33" s="23" t="s">
        <v>61</v>
      </c>
      <c r="C33" s="24">
        <v>6</v>
      </c>
      <c r="D33" s="24">
        <v>0.5</v>
      </c>
      <c r="E33" s="25">
        <v>4195</v>
      </c>
      <c r="F33" s="25"/>
      <c r="G33" s="25">
        <f>E33</f>
        <v>4195</v>
      </c>
      <c r="H33" s="24">
        <v>10</v>
      </c>
      <c r="I33" s="25">
        <f>E33*H33/100</f>
        <v>419.5</v>
      </c>
      <c r="J33" s="25"/>
      <c r="K33" s="24"/>
      <c r="L33" s="24"/>
      <c r="M33" s="25">
        <f>6500-G33-I33</f>
        <v>1885.5</v>
      </c>
      <c r="N33" s="25">
        <f>(G33+I33+K33+L33+J33+M33)*D33</f>
        <v>3250</v>
      </c>
      <c r="O33" s="26">
        <f>N33*12</f>
        <v>39000</v>
      </c>
    </row>
    <row r="34" spans="1:15" s="14" customFormat="1" ht="72" customHeight="1" x14ac:dyDescent="0.7">
      <c r="A34" s="19" t="s">
        <v>29</v>
      </c>
      <c r="B34" s="28" t="s">
        <v>37</v>
      </c>
      <c r="C34" s="24">
        <v>8</v>
      </c>
      <c r="D34" s="24">
        <v>1</v>
      </c>
      <c r="E34" s="25">
        <v>4745</v>
      </c>
      <c r="F34" s="25"/>
      <c r="G34" s="25">
        <f>E34</f>
        <v>4745</v>
      </c>
      <c r="H34" s="24"/>
      <c r="I34" s="24"/>
      <c r="J34" s="24"/>
      <c r="K34" s="24"/>
      <c r="L34" s="24"/>
      <c r="M34" s="25">
        <f>6500-G34-I34</f>
        <v>1755</v>
      </c>
      <c r="N34" s="25">
        <f>(G34+I34+K34+L34+J34+M34)*D34</f>
        <v>6500</v>
      </c>
      <c r="O34" s="26">
        <f>N34*12</f>
        <v>78000</v>
      </c>
    </row>
    <row r="35" spans="1:15" s="14" customFormat="1" ht="72" customHeight="1" x14ac:dyDescent="0.7">
      <c r="A35" s="19"/>
      <c r="B35" s="31" t="s">
        <v>38</v>
      </c>
      <c r="C35" s="24"/>
      <c r="D35" s="24"/>
      <c r="E35" s="25"/>
      <c r="F35" s="25"/>
      <c r="G35" s="25">
        <f>E35</f>
        <v>0</v>
      </c>
      <c r="H35" s="24"/>
      <c r="I35" s="24"/>
      <c r="J35" s="24"/>
      <c r="K35" s="24"/>
      <c r="L35" s="24"/>
      <c r="M35" s="25"/>
      <c r="N35" s="25"/>
      <c r="O35" s="26"/>
    </row>
    <row r="36" spans="1:15" s="14" customFormat="1" ht="72" customHeight="1" x14ac:dyDescent="0.7">
      <c r="A36" s="19">
        <v>3</v>
      </c>
      <c r="B36" s="39" t="s">
        <v>39</v>
      </c>
      <c r="C36" s="24">
        <v>5</v>
      </c>
      <c r="D36" s="24">
        <v>0.5</v>
      </c>
      <c r="E36" s="25">
        <v>3934</v>
      </c>
      <c r="F36" s="24"/>
      <c r="G36" s="25">
        <f>E36</f>
        <v>3934</v>
      </c>
      <c r="H36" s="24"/>
      <c r="I36" s="24"/>
      <c r="J36" s="24"/>
      <c r="K36" s="24"/>
      <c r="L36" s="24"/>
      <c r="M36" s="25">
        <f>6500-G36-I36</f>
        <v>2566</v>
      </c>
      <c r="N36" s="25">
        <f>(G36+I36+K36+L36+J36+M36)*D36</f>
        <v>3250</v>
      </c>
      <c r="O36" s="26">
        <f>N36*12</f>
        <v>39000</v>
      </c>
    </row>
    <row r="37" spans="1:15" s="61" customFormat="1" ht="54" customHeight="1" x14ac:dyDescent="0.7">
      <c r="A37" s="60"/>
      <c r="B37" s="34" t="s">
        <v>35</v>
      </c>
      <c r="C37" s="60"/>
      <c r="D37" s="60">
        <f>SUM(D33:D36)</f>
        <v>2</v>
      </c>
      <c r="E37" s="36">
        <f>SUM(E33:E36)</f>
        <v>12874</v>
      </c>
      <c r="F37" s="60">
        <f>SUM(F33:F36)</f>
        <v>0</v>
      </c>
      <c r="G37" s="36">
        <f>G33*D33+G34*D34+G36*D36</f>
        <v>8809.5</v>
      </c>
      <c r="H37" s="60">
        <f>SUM(H33:H36)</f>
        <v>10</v>
      </c>
      <c r="I37" s="36">
        <f>I33*D33</f>
        <v>209.75</v>
      </c>
      <c r="J37" s="36"/>
      <c r="K37" s="60">
        <f>SUM(K33:K36)</f>
        <v>0</v>
      </c>
      <c r="L37" s="60">
        <f>SUM(L33:L36)</f>
        <v>0</v>
      </c>
      <c r="M37" s="60">
        <f>M33*D33+M34*D34+M36*D36</f>
        <v>3980.75</v>
      </c>
      <c r="N37" s="36">
        <f>SUM(N33:N36)</f>
        <v>13000</v>
      </c>
      <c r="O37" s="36">
        <f>SUM(O33:O36)</f>
        <v>156000</v>
      </c>
    </row>
    <row r="38" spans="1:15" s="14" customFormat="1" ht="54" customHeight="1" x14ac:dyDescent="0.7">
      <c r="A38" s="27"/>
      <c r="B38" s="37" t="s">
        <v>40</v>
      </c>
      <c r="C38" s="40"/>
      <c r="D38" s="24"/>
      <c r="E38" s="24"/>
      <c r="F38" s="24"/>
      <c r="G38" s="24"/>
      <c r="H38" s="24"/>
      <c r="I38" s="24"/>
      <c r="J38" s="25"/>
      <c r="K38" s="24"/>
      <c r="L38" s="24"/>
      <c r="M38" s="24"/>
      <c r="N38" s="24"/>
      <c r="O38" s="38"/>
    </row>
    <row r="39" spans="1:15" s="14" customFormat="1" ht="96" customHeight="1" x14ac:dyDescent="0.7">
      <c r="A39" s="19">
        <v>1</v>
      </c>
      <c r="B39" s="66" t="s">
        <v>56</v>
      </c>
      <c r="C39" s="24">
        <v>1</v>
      </c>
      <c r="D39" s="24">
        <v>1.5</v>
      </c>
      <c r="E39" s="25">
        <v>2893</v>
      </c>
      <c r="F39" s="25"/>
      <c r="G39" s="25">
        <f t="shared" ref="G39:G47" si="0">E39</f>
        <v>2893</v>
      </c>
      <c r="H39" s="24"/>
      <c r="I39" s="24"/>
      <c r="J39" s="24"/>
      <c r="K39" s="24"/>
      <c r="L39" s="25">
        <f>E39*0.1</f>
        <v>289.3</v>
      </c>
      <c r="M39" s="25">
        <f>6500-G39</f>
        <v>3607</v>
      </c>
      <c r="N39" s="25">
        <f>(G39+I39+K39+L39+J39+M39)*D39</f>
        <v>10183.950000000001</v>
      </c>
      <c r="O39" s="26">
        <f>N39*12</f>
        <v>122207.40000000001</v>
      </c>
    </row>
    <row r="40" spans="1:15" s="14" customFormat="1" ht="54" customHeight="1" x14ac:dyDescent="0.7">
      <c r="A40" s="17"/>
      <c r="B40" s="31"/>
      <c r="C40" s="32"/>
      <c r="D40" s="24"/>
      <c r="E40" s="25"/>
      <c r="F40" s="25"/>
      <c r="G40" s="25">
        <f t="shared" si="0"/>
        <v>0</v>
      </c>
      <c r="H40" s="24"/>
      <c r="I40" s="24"/>
      <c r="J40" s="24"/>
      <c r="K40" s="24"/>
      <c r="L40" s="24"/>
      <c r="M40" s="25"/>
      <c r="N40" s="25"/>
      <c r="O40" s="26"/>
    </row>
    <row r="41" spans="1:15" s="14" customFormat="1" ht="144" customHeight="1" x14ac:dyDescent="0.7">
      <c r="A41" s="27">
        <v>2</v>
      </c>
      <c r="B41" s="42" t="s">
        <v>57</v>
      </c>
      <c r="C41" s="41">
        <v>3</v>
      </c>
      <c r="D41" s="24">
        <v>1</v>
      </c>
      <c r="E41" s="25">
        <v>3414</v>
      </c>
      <c r="F41" s="25"/>
      <c r="G41" s="25">
        <f t="shared" si="0"/>
        <v>3414</v>
      </c>
      <c r="H41" s="24"/>
      <c r="I41" s="24"/>
      <c r="J41" s="24"/>
      <c r="K41" s="24"/>
      <c r="L41" s="24"/>
      <c r="M41" s="25">
        <f t="shared" ref="M41:M47" si="1">6500-G41</f>
        <v>3086</v>
      </c>
      <c r="N41" s="25">
        <f>(G41+I41+K41+L41+J41+M41)*D41</f>
        <v>6500</v>
      </c>
      <c r="O41" s="26">
        <f>N41*12</f>
        <v>78000</v>
      </c>
    </row>
    <row r="42" spans="1:15" s="14" customFormat="1" ht="54" customHeight="1" x14ac:dyDescent="0.7">
      <c r="A42" s="17"/>
      <c r="B42" s="31"/>
      <c r="C42" s="32"/>
      <c r="D42" s="24"/>
      <c r="E42" s="25"/>
      <c r="F42" s="25"/>
      <c r="G42" s="25">
        <f t="shared" si="0"/>
        <v>0</v>
      </c>
      <c r="H42" s="24"/>
      <c r="I42" s="24"/>
      <c r="J42" s="24"/>
      <c r="K42" s="24"/>
      <c r="L42" s="24"/>
      <c r="M42" s="25"/>
      <c r="N42" s="25"/>
      <c r="O42" s="26"/>
    </row>
    <row r="43" spans="1:15" s="14" customFormat="1" ht="120" customHeight="1" x14ac:dyDescent="0.7">
      <c r="A43" s="27">
        <v>3</v>
      </c>
      <c r="B43" s="42" t="s">
        <v>41</v>
      </c>
      <c r="C43" s="41">
        <v>4</v>
      </c>
      <c r="D43" s="24">
        <v>1</v>
      </c>
      <c r="E43" s="25">
        <v>3674</v>
      </c>
      <c r="F43" s="25"/>
      <c r="G43" s="25">
        <f t="shared" si="0"/>
        <v>3674</v>
      </c>
      <c r="H43" s="24"/>
      <c r="I43" s="24"/>
      <c r="J43" s="24"/>
      <c r="K43" s="24"/>
      <c r="L43" s="24"/>
      <c r="M43" s="25">
        <f t="shared" si="1"/>
        <v>2826</v>
      </c>
      <c r="N43" s="25">
        <f>(G43+I43+K43+L43+J43+M43)*D43</f>
        <v>6500</v>
      </c>
      <c r="O43" s="26">
        <f>N43*12</f>
        <v>78000</v>
      </c>
    </row>
    <row r="44" spans="1:15" s="14" customFormat="1" ht="123" customHeight="1" x14ac:dyDescent="0.7">
      <c r="A44" s="27">
        <v>4</v>
      </c>
      <c r="B44" s="42" t="s">
        <v>41</v>
      </c>
      <c r="C44" s="41">
        <v>3</v>
      </c>
      <c r="D44" s="24">
        <v>1.5</v>
      </c>
      <c r="E44" s="25">
        <v>3414</v>
      </c>
      <c r="F44" s="25"/>
      <c r="G44" s="25">
        <f t="shared" si="0"/>
        <v>3414</v>
      </c>
      <c r="H44" s="24"/>
      <c r="I44" s="24"/>
      <c r="J44" s="24"/>
      <c r="K44" s="25">
        <f>E44*0.4/166.8*240/3</f>
        <v>654.96402877697847</v>
      </c>
      <c r="L44" s="25"/>
      <c r="M44" s="25">
        <f t="shared" si="1"/>
        <v>3086</v>
      </c>
      <c r="N44" s="25">
        <f>(G44+I44+K44+L44+J44+M44)*D44</f>
        <v>10732.446043165466</v>
      </c>
      <c r="O44" s="26">
        <f>N44*12</f>
        <v>128789.35251798559</v>
      </c>
    </row>
    <row r="45" spans="1:15" s="14" customFormat="1" ht="81" customHeight="1" x14ac:dyDescent="0.7">
      <c r="A45" s="17"/>
      <c r="B45" s="31" t="s">
        <v>42</v>
      </c>
      <c r="C45" s="32"/>
      <c r="D45" s="24"/>
      <c r="E45" s="25"/>
      <c r="F45" s="25"/>
      <c r="G45" s="25">
        <f t="shared" si="0"/>
        <v>0</v>
      </c>
      <c r="H45" s="24"/>
      <c r="I45" s="24"/>
      <c r="J45" s="24"/>
      <c r="K45" s="24"/>
      <c r="L45" s="24"/>
      <c r="M45" s="25">
        <f t="shared" si="1"/>
        <v>6500</v>
      </c>
      <c r="N45" s="25"/>
      <c r="O45" s="26"/>
    </row>
    <row r="46" spans="1:15" s="14" customFormat="1" ht="54" customHeight="1" x14ac:dyDescent="0.7">
      <c r="A46" s="19">
        <v>5</v>
      </c>
      <c r="B46" s="23" t="s">
        <v>43</v>
      </c>
      <c r="C46" s="24">
        <v>1</v>
      </c>
      <c r="D46" s="24">
        <v>2</v>
      </c>
      <c r="E46" s="25">
        <v>2893</v>
      </c>
      <c r="F46" s="25"/>
      <c r="G46" s="25">
        <f t="shared" si="0"/>
        <v>2893</v>
      </c>
      <c r="H46" s="24"/>
      <c r="I46" s="24"/>
      <c r="J46" s="24"/>
      <c r="K46" s="25">
        <f>E46*0.4/166.8*240/D46</f>
        <v>832.51798561151077</v>
      </c>
      <c r="L46" s="25"/>
      <c r="M46" s="25">
        <f t="shared" si="1"/>
        <v>3607</v>
      </c>
      <c r="N46" s="25">
        <f>(G46+I46+K46+L46+J46+M46)*D46</f>
        <v>14665.035971223022</v>
      </c>
      <c r="O46" s="26">
        <f>N46*12</f>
        <v>175980.43165467627</v>
      </c>
    </row>
    <row r="47" spans="1:15" s="14" customFormat="1" ht="54" customHeight="1" x14ac:dyDescent="0.7">
      <c r="A47" s="19">
        <v>6</v>
      </c>
      <c r="B47" s="23" t="s">
        <v>44</v>
      </c>
      <c r="C47" s="24">
        <v>1</v>
      </c>
      <c r="D47" s="24">
        <v>0.5</v>
      </c>
      <c r="E47" s="25">
        <v>2893</v>
      </c>
      <c r="F47" s="25"/>
      <c r="G47" s="25">
        <f t="shared" si="0"/>
        <v>2893</v>
      </c>
      <c r="H47" s="24"/>
      <c r="I47" s="24"/>
      <c r="J47" s="24"/>
      <c r="K47" s="24"/>
      <c r="L47" s="25">
        <f>E47*0.1</f>
        <v>289.3</v>
      </c>
      <c r="M47" s="25">
        <f t="shared" si="1"/>
        <v>3607</v>
      </c>
      <c r="N47" s="25">
        <f>(G47+I47+K47+L47+J47+M47)*D47</f>
        <v>3394.65</v>
      </c>
      <c r="O47" s="26">
        <f>N47*12</f>
        <v>40735.800000000003</v>
      </c>
    </row>
    <row r="48" spans="1:15" s="14" customFormat="1" ht="54" customHeight="1" x14ac:dyDescent="0.7">
      <c r="A48" s="33"/>
      <c r="B48" s="34" t="s">
        <v>35</v>
      </c>
      <c r="C48" s="33"/>
      <c r="D48" s="35">
        <f>SUM(D39:D47)</f>
        <v>7.5</v>
      </c>
      <c r="E48" s="35">
        <f>E39*D39+E41*D41+E43*D43+E44*D44+E46*D46+E47*D47</f>
        <v>23781</v>
      </c>
      <c r="F48" s="35"/>
      <c r="G48" s="35">
        <f>G39*D39+G41*D41+G43*D43+G44*D44+G46*D46+G47*D47</f>
        <v>23781</v>
      </c>
      <c r="H48" s="33"/>
      <c r="I48" s="33"/>
      <c r="J48" s="33"/>
      <c r="K48" s="35">
        <f>(D44*K44)+(D46*K46)</f>
        <v>2647.482014388489</v>
      </c>
      <c r="L48" s="35">
        <f>L39*D39+L47*D47</f>
        <v>578.6</v>
      </c>
      <c r="M48" s="35">
        <f>M39*D39+M41*D41+M43*D43+M44*D44+M46*D46+M47*D47</f>
        <v>24969</v>
      </c>
      <c r="N48" s="35">
        <f>SUM(N39:N47)</f>
        <v>51976.082014388492</v>
      </c>
      <c r="O48" s="36">
        <f>SUM(O39:O47)</f>
        <v>623712.98417266202</v>
      </c>
    </row>
    <row r="49" spans="1:15" s="14" customFormat="1" ht="54" customHeight="1" x14ac:dyDescent="0.7">
      <c r="A49" s="43"/>
      <c r="B49" s="44" t="s">
        <v>45</v>
      </c>
      <c r="C49" s="58"/>
      <c r="D49" s="59">
        <f>D31+D37+D48</f>
        <v>14</v>
      </c>
      <c r="E49" s="58">
        <f>E31+E37+E48</f>
        <v>68104.850000000006</v>
      </c>
      <c r="F49" s="58">
        <f>F31+F37+F48</f>
        <v>3144.9849999999997</v>
      </c>
      <c r="G49" s="58">
        <f>G31+G37+G48</f>
        <v>67185.335000000006</v>
      </c>
      <c r="H49" s="58"/>
      <c r="I49" s="58">
        <f t="shared" ref="I49:O49" si="2">I31+I37+I48</f>
        <v>9191.200499999999</v>
      </c>
      <c r="J49" s="58">
        <f t="shared" si="2"/>
        <v>9005.3204999999998</v>
      </c>
      <c r="K49" s="59">
        <f t="shared" si="2"/>
        <v>2647.482014388489</v>
      </c>
      <c r="L49" s="59">
        <f t="shared" si="2"/>
        <v>578.6</v>
      </c>
      <c r="M49" s="59">
        <f t="shared" si="2"/>
        <v>28949.75</v>
      </c>
      <c r="N49" s="59">
        <f t="shared" si="2"/>
        <v>117557.68801438849</v>
      </c>
      <c r="O49" s="59">
        <f t="shared" si="2"/>
        <v>1410692.2561726621</v>
      </c>
    </row>
    <row r="50" spans="1:15" s="57" customFormat="1" ht="54" customHeight="1" x14ac:dyDescent="0.7">
      <c r="A50" s="51"/>
      <c r="B50" s="49"/>
      <c r="C50" s="51"/>
      <c r="D50" s="56"/>
      <c r="E50" s="51"/>
      <c r="F50" s="51"/>
      <c r="G50" s="51"/>
      <c r="H50" s="51"/>
      <c r="I50" s="51"/>
      <c r="J50" s="51"/>
      <c r="K50" s="56"/>
      <c r="L50" s="56"/>
      <c r="M50" s="56"/>
      <c r="N50" s="56"/>
      <c r="O50" s="56"/>
    </row>
    <row r="51" spans="1:15" s="57" customFormat="1" ht="54" customHeight="1" x14ac:dyDescent="0.7">
      <c r="A51" s="51"/>
      <c r="B51" s="49"/>
      <c r="C51" s="51"/>
      <c r="D51" s="56"/>
      <c r="E51" s="51"/>
      <c r="F51" s="51"/>
      <c r="G51" s="51"/>
      <c r="H51" s="51"/>
      <c r="I51" s="51"/>
      <c r="J51" s="51"/>
      <c r="K51" s="56"/>
      <c r="L51" s="56"/>
      <c r="M51" s="56"/>
      <c r="N51" s="56">
        <f>9.5*6500+K48+L48</f>
        <v>64976.082014388485</v>
      </c>
      <c r="O51" s="56"/>
    </row>
    <row r="52" spans="1:15" s="57" customFormat="1" ht="54" customHeight="1" x14ac:dyDescent="0.7">
      <c r="A52" s="51"/>
      <c r="B52" s="49"/>
      <c r="C52" s="51"/>
      <c r="D52" s="56"/>
      <c r="E52" s="51"/>
      <c r="F52" s="51"/>
      <c r="G52" s="51"/>
      <c r="H52" s="51"/>
      <c r="I52" s="51"/>
      <c r="J52" s="51"/>
      <c r="K52" s="56"/>
      <c r="L52" s="56"/>
      <c r="M52" s="56"/>
      <c r="N52" s="56"/>
      <c r="O52" s="56"/>
    </row>
    <row r="53" spans="1:15" s="7" customFormat="1" ht="36" x14ac:dyDescent="0.55000000000000004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s="7" customFormat="1" ht="42" customHeight="1" x14ac:dyDescent="0.55000000000000004">
      <c r="A54" s="8"/>
      <c r="B54" s="9"/>
      <c r="C54" s="8"/>
      <c r="D54" s="8"/>
      <c r="E54" s="8"/>
      <c r="F54" s="8"/>
      <c r="G54" s="8"/>
      <c r="H54" s="8"/>
      <c r="I54" s="8"/>
      <c r="J54" s="10"/>
      <c r="K54" s="8"/>
      <c r="L54" s="10"/>
      <c r="M54" s="10"/>
      <c r="N54" s="8"/>
      <c r="O54" s="9"/>
    </row>
    <row r="55" spans="1:15" s="14" customFormat="1" ht="63" customHeight="1" x14ac:dyDescent="0.7">
      <c r="A55" s="45"/>
      <c r="B55" s="46"/>
      <c r="C55" s="47"/>
      <c r="D55" s="47" t="s">
        <v>47</v>
      </c>
      <c r="E55" s="47"/>
      <c r="F55" s="47"/>
      <c r="G55" s="47"/>
      <c r="H55" s="47"/>
      <c r="I55" s="45"/>
      <c r="J55" s="45"/>
      <c r="K55" s="47" t="s">
        <v>48</v>
      </c>
      <c r="L55" s="45"/>
      <c r="M55" s="45"/>
      <c r="N55" s="45"/>
      <c r="O55" s="48"/>
    </row>
    <row r="56" spans="1:15" s="14" customFormat="1" ht="46.5" x14ac:dyDescent="0.7">
      <c r="A56" s="45"/>
      <c r="B56" s="48"/>
      <c r="C56" s="45"/>
      <c r="D56" s="45"/>
      <c r="E56" s="45"/>
      <c r="F56" s="45"/>
      <c r="G56" s="45"/>
      <c r="H56" s="45"/>
      <c r="I56" s="47"/>
      <c r="J56" s="47"/>
      <c r="K56" s="47"/>
      <c r="L56" s="47"/>
      <c r="M56" s="47"/>
      <c r="N56" s="47"/>
      <c r="O56" s="48"/>
    </row>
    <row r="57" spans="1:15" s="14" customFormat="1" ht="46.5" x14ac:dyDescent="0.7">
      <c r="A57" s="45"/>
      <c r="B57" s="49"/>
      <c r="C57" s="50"/>
      <c r="D57" s="50" t="s">
        <v>50</v>
      </c>
      <c r="E57" s="50"/>
      <c r="F57" s="50"/>
      <c r="G57" s="50"/>
      <c r="H57" s="50"/>
      <c r="I57" s="50"/>
      <c r="J57" s="50"/>
      <c r="K57" s="50" t="s">
        <v>49</v>
      </c>
      <c r="L57" s="50"/>
      <c r="M57" s="50"/>
      <c r="N57" s="51"/>
      <c r="O57" s="48"/>
    </row>
    <row r="58" spans="1:15" s="7" customFormat="1" ht="36" x14ac:dyDescent="0.55000000000000004">
      <c r="A58" s="8"/>
      <c r="B58" s="9"/>
      <c r="C58" s="8"/>
      <c r="D58" s="8"/>
      <c r="E58" s="8"/>
      <c r="F58" s="8"/>
      <c r="G58" s="8"/>
      <c r="H58" s="8"/>
      <c r="I58" s="11"/>
      <c r="J58" s="11"/>
      <c r="K58" s="11"/>
      <c r="L58" s="11"/>
      <c r="M58" s="11"/>
      <c r="N58" s="11"/>
      <c r="O58" s="9"/>
    </row>
    <row r="59" spans="1:15" ht="30" x14ac:dyDescent="0.4">
      <c r="A59" s="1"/>
      <c r="B59" s="2"/>
      <c r="C59" s="1">
        <v>1</v>
      </c>
      <c r="D59" s="3">
        <f t="shared" ref="D59:O59" si="3">D39+D46+D47</f>
        <v>4</v>
      </c>
      <c r="E59" s="3">
        <f t="shared" si="3"/>
        <v>8679</v>
      </c>
      <c r="F59" s="3">
        <f t="shared" si="3"/>
        <v>0</v>
      </c>
      <c r="G59" s="3">
        <f t="shared" si="3"/>
        <v>8679</v>
      </c>
      <c r="H59" s="3">
        <f t="shared" si="3"/>
        <v>0</v>
      </c>
      <c r="I59" s="3">
        <f t="shared" si="3"/>
        <v>0</v>
      </c>
      <c r="J59" s="3">
        <f t="shared" si="3"/>
        <v>0</v>
      </c>
      <c r="K59" s="3">
        <f t="shared" si="3"/>
        <v>832.51798561151077</v>
      </c>
      <c r="L59" s="3">
        <f t="shared" si="3"/>
        <v>578.6</v>
      </c>
      <c r="M59" s="3">
        <f t="shared" si="3"/>
        <v>10821</v>
      </c>
      <c r="N59" s="3">
        <f t="shared" si="3"/>
        <v>28243.635971223026</v>
      </c>
      <c r="O59" s="3">
        <f t="shared" si="3"/>
        <v>338923.63165467628</v>
      </c>
    </row>
    <row r="60" spans="1:15" ht="30" x14ac:dyDescent="0.4">
      <c r="A60" s="1"/>
      <c r="B60" s="2"/>
      <c r="C60" s="1">
        <v>3</v>
      </c>
      <c r="D60" s="3">
        <f t="shared" ref="D60:O60" si="4">D41+D44</f>
        <v>2.5</v>
      </c>
      <c r="E60" s="3">
        <f t="shared" si="4"/>
        <v>6828</v>
      </c>
      <c r="F60" s="3">
        <f t="shared" si="4"/>
        <v>0</v>
      </c>
      <c r="G60" s="3">
        <f t="shared" si="4"/>
        <v>6828</v>
      </c>
      <c r="H60" s="3">
        <f t="shared" si="4"/>
        <v>0</v>
      </c>
      <c r="I60" s="3">
        <f t="shared" si="4"/>
        <v>0</v>
      </c>
      <c r="J60" s="3">
        <f t="shared" si="4"/>
        <v>0</v>
      </c>
      <c r="K60" s="3">
        <f t="shared" si="4"/>
        <v>654.96402877697847</v>
      </c>
      <c r="L60" s="3">
        <f t="shared" si="4"/>
        <v>0</v>
      </c>
      <c r="M60" s="3">
        <f t="shared" si="4"/>
        <v>6172</v>
      </c>
      <c r="N60" s="3">
        <f t="shared" si="4"/>
        <v>17232.446043165466</v>
      </c>
      <c r="O60" s="3">
        <f t="shared" si="4"/>
        <v>206789.35251798559</v>
      </c>
    </row>
    <row r="61" spans="1:15" ht="30" x14ac:dyDescent="0.4">
      <c r="A61" s="1"/>
      <c r="B61" s="2"/>
      <c r="C61" s="1">
        <v>4</v>
      </c>
      <c r="D61" s="3">
        <f t="shared" ref="D61:O61" si="5">D43</f>
        <v>1</v>
      </c>
      <c r="E61" s="3">
        <f t="shared" si="5"/>
        <v>3674</v>
      </c>
      <c r="F61" s="3">
        <f t="shared" si="5"/>
        <v>0</v>
      </c>
      <c r="G61" s="3">
        <f t="shared" si="5"/>
        <v>3674</v>
      </c>
      <c r="H61" s="3">
        <f t="shared" si="5"/>
        <v>0</v>
      </c>
      <c r="I61" s="3">
        <f t="shared" si="5"/>
        <v>0</v>
      </c>
      <c r="J61" s="3">
        <f t="shared" si="5"/>
        <v>0</v>
      </c>
      <c r="K61" s="3">
        <f t="shared" si="5"/>
        <v>0</v>
      </c>
      <c r="L61" s="3">
        <f t="shared" si="5"/>
        <v>0</v>
      </c>
      <c r="M61" s="3">
        <f t="shared" si="5"/>
        <v>2826</v>
      </c>
      <c r="N61" s="3">
        <f t="shared" si="5"/>
        <v>6500</v>
      </c>
      <c r="O61" s="3">
        <f t="shared" si="5"/>
        <v>78000</v>
      </c>
    </row>
    <row r="62" spans="1:15" ht="30" x14ac:dyDescent="0.4">
      <c r="A62" s="1"/>
      <c r="B62" s="2"/>
      <c r="C62" s="1">
        <v>5</v>
      </c>
      <c r="D62" s="3">
        <f t="shared" ref="D62:O62" si="6">D36</f>
        <v>0.5</v>
      </c>
      <c r="E62" s="3">
        <f t="shared" si="6"/>
        <v>3934</v>
      </c>
      <c r="F62" s="3">
        <f t="shared" si="6"/>
        <v>0</v>
      </c>
      <c r="G62" s="3">
        <f t="shared" si="6"/>
        <v>3934</v>
      </c>
      <c r="H62" s="3">
        <f t="shared" si="6"/>
        <v>0</v>
      </c>
      <c r="I62" s="3">
        <f t="shared" si="6"/>
        <v>0</v>
      </c>
      <c r="J62" s="3">
        <f t="shared" si="6"/>
        <v>0</v>
      </c>
      <c r="K62" s="3">
        <f t="shared" si="6"/>
        <v>0</v>
      </c>
      <c r="L62" s="3">
        <f t="shared" si="6"/>
        <v>0</v>
      </c>
      <c r="M62" s="3">
        <f t="shared" si="6"/>
        <v>2566</v>
      </c>
      <c r="N62" s="3">
        <f t="shared" si="6"/>
        <v>3250</v>
      </c>
      <c r="O62" s="3">
        <f t="shared" si="6"/>
        <v>39000</v>
      </c>
    </row>
    <row r="63" spans="1:15" ht="30" x14ac:dyDescent="0.4">
      <c r="A63" s="1"/>
      <c r="B63" s="2"/>
      <c r="C63" s="1">
        <v>6</v>
      </c>
      <c r="D63" s="3">
        <f t="shared" ref="D63:O63" si="7">D33</f>
        <v>0.5</v>
      </c>
      <c r="E63" s="3">
        <f t="shared" si="7"/>
        <v>4195</v>
      </c>
      <c r="F63" s="3">
        <f t="shared" si="7"/>
        <v>0</v>
      </c>
      <c r="G63" s="3">
        <f t="shared" si="7"/>
        <v>4195</v>
      </c>
      <c r="H63" s="3">
        <f t="shared" si="7"/>
        <v>10</v>
      </c>
      <c r="I63" s="3">
        <f t="shared" si="7"/>
        <v>419.5</v>
      </c>
      <c r="J63" s="3">
        <f t="shared" si="7"/>
        <v>0</v>
      </c>
      <c r="K63" s="3">
        <f t="shared" si="7"/>
        <v>0</v>
      </c>
      <c r="L63" s="3">
        <f t="shared" si="7"/>
        <v>0</v>
      </c>
      <c r="M63" s="3">
        <f t="shared" si="7"/>
        <v>1885.5</v>
      </c>
      <c r="N63" s="3">
        <f t="shared" si="7"/>
        <v>3250</v>
      </c>
      <c r="O63" s="3">
        <f t="shared" si="7"/>
        <v>39000</v>
      </c>
    </row>
    <row r="64" spans="1:15" ht="30" x14ac:dyDescent="0.4">
      <c r="A64" s="1"/>
      <c r="B64" s="2"/>
      <c r="C64" s="1">
        <v>8</v>
      </c>
      <c r="D64" s="3">
        <f t="shared" ref="D64:O64" si="8">D34</f>
        <v>1</v>
      </c>
      <c r="E64" s="3">
        <f t="shared" si="8"/>
        <v>4745</v>
      </c>
      <c r="F64" s="3">
        <f t="shared" si="8"/>
        <v>0</v>
      </c>
      <c r="G64" s="3">
        <f t="shared" si="8"/>
        <v>4745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>
        <f t="shared" si="8"/>
        <v>1755</v>
      </c>
      <c r="N64" s="3">
        <f t="shared" si="8"/>
        <v>6500</v>
      </c>
      <c r="O64" s="3">
        <f t="shared" si="8"/>
        <v>78000</v>
      </c>
    </row>
    <row r="65" spans="1:15" ht="30" x14ac:dyDescent="0.4">
      <c r="A65" s="1"/>
      <c r="B65" s="2"/>
      <c r="C65" s="1">
        <v>10</v>
      </c>
      <c r="D65" s="3">
        <f t="shared" ref="D65:O65" si="9">D30</f>
        <v>0.5</v>
      </c>
      <c r="E65" s="3">
        <f t="shared" si="9"/>
        <v>5265</v>
      </c>
      <c r="F65" s="3">
        <f t="shared" si="9"/>
        <v>526.5</v>
      </c>
      <c r="G65" s="3">
        <f t="shared" si="9"/>
        <v>5791.5</v>
      </c>
      <c r="H65" s="3">
        <f t="shared" si="9"/>
        <v>30</v>
      </c>
      <c r="I65" s="3">
        <f t="shared" si="9"/>
        <v>1737.45</v>
      </c>
      <c r="J65" s="3">
        <f t="shared" si="9"/>
        <v>1158.3</v>
      </c>
      <c r="K65" s="3">
        <f t="shared" si="9"/>
        <v>0</v>
      </c>
      <c r="L65" s="3">
        <f t="shared" si="9"/>
        <v>0</v>
      </c>
      <c r="M65" s="3">
        <f t="shared" si="9"/>
        <v>0</v>
      </c>
      <c r="N65" s="3">
        <f t="shared" si="9"/>
        <v>4343.625</v>
      </c>
      <c r="O65" s="3">
        <f t="shared" si="9"/>
        <v>52123.5</v>
      </c>
    </row>
    <row r="66" spans="1:15" ht="30" x14ac:dyDescent="0.4">
      <c r="A66" s="1"/>
      <c r="B66" s="2"/>
      <c r="C66" s="1">
        <v>11</v>
      </c>
      <c r="D66" s="3">
        <f t="shared" ref="D66:O66" si="10">D28</f>
        <v>0.5</v>
      </c>
      <c r="E66" s="3">
        <f t="shared" si="10"/>
        <v>5699</v>
      </c>
      <c r="F66" s="3">
        <f t="shared" si="10"/>
        <v>569.9</v>
      </c>
      <c r="G66" s="3">
        <f t="shared" si="10"/>
        <v>6268.9</v>
      </c>
      <c r="H66" s="3">
        <f t="shared" si="10"/>
        <v>10</v>
      </c>
      <c r="I66" s="3">
        <f t="shared" si="10"/>
        <v>626.89</v>
      </c>
      <c r="J66" s="3">
        <f t="shared" si="10"/>
        <v>1253.78</v>
      </c>
      <c r="K66" s="3">
        <f t="shared" si="10"/>
        <v>0</v>
      </c>
      <c r="L66" s="3">
        <f t="shared" si="10"/>
        <v>0</v>
      </c>
      <c r="M66" s="3">
        <f t="shared" si="10"/>
        <v>0</v>
      </c>
      <c r="N66" s="3">
        <f t="shared" si="10"/>
        <v>4074.7849999999999</v>
      </c>
      <c r="O66" s="3">
        <f t="shared" si="10"/>
        <v>48897.42</v>
      </c>
    </row>
    <row r="67" spans="1:15" ht="30" x14ac:dyDescent="0.4">
      <c r="A67" s="1"/>
      <c r="B67" s="2"/>
      <c r="C67" s="1">
        <v>14</v>
      </c>
      <c r="D67" s="3">
        <f t="shared" ref="D67:O67" si="11">D29</f>
        <v>1</v>
      </c>
      <c r="E67" s="3">
        <f t="shared" si="11"/>
        <v>7001</v>
      </c>
      <c r="F67" s="3">
        <f t="shared" si="11"/>
        <v>700.1</v>
      </c>
      <c r="G67" s="3">
        <f t="shared" si="11"/>
        <v>7701.1</v>
      </c>
      <c r="H67" s="3">
        <f t="shared" si="11"/>
        <v>20</v>
      </c>
      <c r="I67" s="3">
        <f t="shared" si="11"/>
        <v>1540.22</v>
      </c>
      <c r="J67" s="3">
        <f t="shared" si="11"/>
        <v>1540.2200000000003</v>
      </c>
      <c r="K67" s="3">
        <f t="shared" si="11"/>
        <v>0</v>
      </c>
      <c r="L67" s="3">
        <f t="shared" si="11"/>
        <v>0</v>
      </c>
      <c r="M67" s="3">
        <f t="shared" si="11"/>
        <v>0</v>
      </c>
      <c r="N67" s="3">
        <f t="shared" si="11"/>
        <v>10781.54</v>
      </c>
      <c r="O67" s="3">
        <f t="shared" si="11"/>
        <v>129378.48000000001</v>
      </c>
    </row>
    <row r="68" spans="1:15" ht="30" x14ac:dyDescent="0.4">
      <c r="A68" s="1"/>
      <c r="B68" s="2"/>
      <c r="C68" s="1">
        <v>16</v>
      </c>
      <c r="D68" s="3">
        <f t="shared" ref="D68:O68" si="12">D25</f>
        <v>1</v>
      </c>
      <c r="E68" s="3">
        <f t="shared" si="12"/>
        <v>8071</v>
      </c>
      <c r="F68" s="3">
        <f t="shared" si="12"/>
        <v>807.1</v>
      </c>
      <c r="G68" s="3">
        <f t="shared" si="12"/>
        <v>8878.1</v>
      </c>
      <c r="H68" s="3">
        <f t="shared" si="12"/>
        <v>30</v>
      </c>
      <c r="I68" s="3">
        <f t="shared" si="12"/>
        <v>2663.43</v>
      </c>
      <c r="J68" s="3">
        <f t="shared" si="12"/>
        <v>2663.43</v>
      </c>
      <c r="K68" s="3">
        <f t="shared" si="12"/>
        <v>0</v>
      </c>
      <c r="L68" s="3">
        <f t="shared" si="12"/>
        <v>0</v>
      </c>
      <c r="M68" s="3">
        <f t="shared" si="12"/>
        <v>0</v>
      </c>
      <c r="N68" s="3">
        <f t="shared" si="12"/>
        <v>14204.960000000001</v>
      </c>
      <c r="O68" s="3">
        <f t="shared" si="12"/>
        <v>170459.52000000002</v>
      </c>
    </row>
    <row r="69" spans="1:15" ht="30" x14ac:dyDescent="0.4">
      <c r="A69" s="1"/>
      <c r="B69" s="2"/>
      <c r="C69" s="1" t="s">
        <v>46</v>
      </c>
      <c r="D69" s="3">
        <f t="shared" ref="D69:O69" si="13">D26</f>
        <v>1.5</v>
      </c>
      <c r="E69" s="3">
        <f t="shared" si="13"/>
        <v>7263.9000000000005</v>
      </c>
      <c r="F69" s="3">
        <f t="shared" si="13"/>
        <v>726.3900000000001</v>
      </c>
      <c r="G69" s="3">
        <f t="shared" si="13"/>
        <v>7990.2900000000009</v>
      </c>
      <c r="H69" s="3">
        <f t="shared" si="13"/>
        <v>30</v>
      </c>
      <c r="I69" s="3">
        <f t="shared" si="13"/>
        <v>2397.087</v>
      </c>
      <c r="J69" s="3">
        <f t="shared" si="13"/>
        <v>2397.087</v>
      </c>
      <c r="K69" s="3">
        <f t="shared" si="13"/>
        <v>0</v>
      </c>
      <c r="L69" s="3">
        <f t="shared" si="13"/>
        <v>0</v>
      </c>
      <c r="M69" s="3">
        <f t="shared" si="13"/>
        <v>0</v>
      </c>
      <c r="N69" s="3">
        <f t="shared" si="13"/>
        <v>19176.696</v>
      </c>
      <c r="O69" s="3">
        <f t="shared" si="13"/>
        <v>230120.35200000001</v>
      </c>
    </row>
    <row r="70" spans="1:15" ht="30" x14ac:dyDescent="0.4">
      <c r="A70" s="4"/>
      <c r="B70" s="5"/>
      <c r="C70" s="4" t="s">
        <v>45</v>
      </c>
      <c r="D70" s="6">
        <f t="shared" ref="D70:O70" si="14">SUM(D59:D69)</f>
        <v>14</v>
      </c>
      <c r="E70" s="6">
        <f t="shared" si="14"/>
        <v>65354.9</v>
      </c>
      <c r="F70" s="6">
        <f t="shared" si="14"/>
        <v>3329.99</v>
      </c>
      <c r="G70" s="6">
        <f t="shared" si="14"/>
        <v>68684.89</v>
      </c>
      <c r="H70" s="6">
        <f t="shared" si="14"/>
        <v>130</v>
      </c>
      <c r="I70" s="6">
        <f t="shared" si="14"/>
        <v>9384.5769999999993</v>
      </c>
      <c r="J70" s="6">
        <f t="shared" si="14"/>
        <v>9012.8169999999991</v>
      </c>
      <c r="K70" s="6">
        <f t="shared" si="14"/>
        <v>1487.4820143884892</v>
      </c>
      <c r="L70" s="6">
        <f t="shared" si="14"/>
        <v>578.6</v>
      </c>
      <c r="M70" s="6">
        <f t="shared" si="14"/>
        <v>26025.5</v>
      </c>
      <c r="N70" s="6">
        <f t="shared" si="14"/>
        <v>117557.68801438851</v>
      </c>
      <c r="O70" s="6">
        <f t="shared" si="14"/>
        <v>1410692.2561726619</v>
      </c>
    </row>
    <row r="71" spans="1:15" ht="30" x14ac:dyDescent="0.4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26">
    <mergeCell ref="I10:N10"/>
    <mergeCell ref="L11:N11"/>
    <mergeCell ref="A15:O15"/>
    <mergeCell ref="A4:B4"/>
    <mergeCell ref="I4:L4"/>
    <mergeCell ref="A5:D5"/>
    <mergeCell ref="A6:B6"/>
    <mergeCell ref="I6:L6"/>
    <mergeCell ref="A9:E9"/>
    <mergeCell ref="A10:C10"/>
    <mergeCell ref="A19:O19"/>
    <mergeCell ref="B21:B23"/>
    <mergeCell ref="A17:O17"/>
    <mergeCell ref="C21:C23"/>
    <mergeCell ref="D21:D23"/>
    <mergeCell ref="E21:E23"/>
    <mergeCell ref="K21:L21"/>
    <mergeCell ref="O21:O23"/>
    <mergeCell ref="H22:I22"/>
    <mergeCell ref="J22:J23"/>
    <mergeCell ref="L22:L23"/>
    <mergeCell ref="N21:N23"/>
    <mergeCell ref="M21:M23"/>
    <mergeCell ref="F21:F23"/>
    <mergeCell ref="G21:G23"/>
    <mergeCell ref="H21:J21"/>
  </mergeCells>
  <phoneticPr fontId="0" type="noConversion"/>
  <pageMargins left="0.19685039370078741" right="0" top="0" bottom="0" header="0.31496062992125984" footer="0.31496062992125984"/>
  <pageSetup paperSize="9" scale="17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штатний 2020</vt:lpstr>
      <vt:lpstr>Лист2</vt:lpstr>
      <vt:lpstr>Лист3</vt:lpstr>
      <vt:lpstr>штатний 01.01.21</vt:lpstr>
      <vt:lpstr>штатний 01.07.21</vt:lpstr>
      <vt:lpstr>'штатний 01.01.21'!Область_печати</vt:lpstr>
      <vt:lpstr>'штатний 01.07.21'!Область_печати</vt:lpstr>
      <vt:lpstr>'штатний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2020-01-29T07:43:07Z</cp:lastPrinted>
  <dcterms:created xsi:type="dcterms:W3CDTF">2006-09-28T05:33:49Z</dcterms:created>
  <dcterms:modified xsi:type="dcterms:W3CDTF">2021-02-02T07:18:53Z</dcterms:modified>
</cp:coreProperties>
</file>