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<sst xmlns="http://schemas.openxmlformats.org/spreadsheetml/2006/main" count="1494" uniqueCount="562">
  <si>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</si>
  <si>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</si>
  <si>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</si>
  <si>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</si>
  <si>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</si>
  <si>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</si>
  <si>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</si>
  <si>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</si>
  <si>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</si>
  <si>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</si>
  <si>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</si>
  <si>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</si>
  <si>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</si>
  <si>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</si>
  <si>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</si>
  <si>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</si>
  <si>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</si>
  <si>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</si>
  <si>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</si>
  <si>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</si>
  <si>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</si>
  <si>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</si>
  <si>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</si>
  <si>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</si>
  <si>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</si>
  <si>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</si>
  <si>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UA-2016-11-16-001154-a</t>
  </si>
  <si>
    <t>Офісні меблі ( столи письмові - 6 шт, стільці з шкірзаму на металевому каркасі - 16 шт., стільці офісні без підлокотників - 4 шт., стілець офісний з підлокотниками - 1 шт.)</t>
  </si>
  <si>
    <t>39100000-3 - Меблі</t>
  </si>
  <si>
    <t>Спрощена/допорогова закупівля</t>
  </si>
  <si>
    <t>закупівля не відбулась</t>
  </si>
  <si>
    <t>UA-2016-11-18-001028-a</t>
  </si>
  <si>
    <t>09323000-9 ДК 016:2010 - 35.30.1 теплова енергія, постачання теплової енергії (CPV 021:2015 - 09323000-9 централізоване опалення)</t>
  </si>
  <si>
    <t>09323000-9 - Централізоване опалення</t>
  </si>
  <si>
    <t>Переговорна процедура, скорочена</t>
  </si>
  <si>
    <t>ККП «Маріупольтепломережа»</t>
  </si>
  <si>
    <t>33760279</t>
  </si>
  <si>
    <t>завершено</t>
  </si>
  <si>
    <t>759/3</t>
  </si>
  <si>
    <t>UAH</t>
  </si>
  <si>
    <t>активний</t>
  </si>
  <si>
    <t>UA-2016-11-21-001083-a</t>
  </si>
  <si>
    <t xml:space="preserve">Віконні блоки з метало-пластику з замірами, доставкою, установкою, відкосами, фурнітурою, 1 вікто затоньоване. </t>
  </si>
  <si>
    <t>99999999-9 - Не визначено</t>
  </si>
  <si>
    <t>UA-2016-11-25-000882-a</t>
  </si>
  <si>
    <t>Офісні меблі ( столи письмові - 6 шт, стільці з шкірзаму на металевому каркасі - 12 шт., стільці офісні без підлокотників - 4 шт., стілець офісний з підлокотниками - 1 шт.)</t>
  </si>
  <si>
    <t>UA-2016-12-01-000376-a</t>
  </si>
  <si>
    <t>Віконні блоки з метало-пластику з замірами, доставкою, установкою, відкосами, фурнітурою.</t>
  </si>
  <si>
    <t>UA-2016-12-14-001259-b</t>
  </si>
  <si>
    <t>759/4</t>
  </si>
  <si>
    <t>UA-2017-01-03-000952-b</t>
  </si>
  <si>
    <t>постачання теплової енергії (09323000-9 - централізоване опалення )</t>
  </si>
  <si>
    <t>759</t>
  </si>
  <si>
    <t>UA-2017-01-11-000880-b</t>
  </si>
  <si>
    <t>Послуги їдалень</t>
  </si>
  <si>
    <t>55510000-8 - Послуги їдалень</t>
  </si>
  <si>
    <t>Закупівля без використання електронної системи</t>
  </si>
  <si>
    <t xml:space="preserve">Комунальне підприємство шкільного харчування "Восток" </t>
  </si>
  <si>
    <t>13508269</t>
  </si>
  <si>
    <t>37</t>
  </si>
  <si>
    <t>UA-2017-01-11-001436-b</t>
  </si>
  <si>
    <t>Послуги з централізованого водопостачання</t>
  </si>
  <si>
    <t>65110000-7 - Розподіл води</t>
  </si>
  <si>
    <t>КП "Маріупольське ВУВКГ"</t>
  </si>
  <si>
    <t>03361508</t>
  </si>
  <si>
    <t>57/ЦВВ</t>
  </si>
  <si>
    <t>UA-2017-01-12-001516-b</t>
  </si>
  <si>
    <t>Послуги з централізованого водовідведення</t>
  </si>
  <si>
    <t>90400000-1 - Послуги у сфері водовідведення</t>
  </si>
  <si>
    <t>57/ЦВС</t>
  </si>
  <si>
    <t>UA-2017-02-08-003062-c</t>
  </si>
  <si>
    <t xml:space="preserve">Електрична енергія </t>
  </si>
  <si>
    <t>09310000-5 - Електрична енергія</t>
  </si>
  <si>
    <t>ПАТ «ДТЕК Донецькобленерго»</t>
  </si>
  <si>
    <t>00131268</t>
  </si>
  <si>
    <t>1</t>
  </si>
  <si>
    <t>UA-2017-02-21-000373-c</t>
  </si>
  <si>
    <t>021:2015:41110000-3 Питна вода</t>
  </si>
  <si>
    <t>41110000-3 - Питна вода</t>
  </si>
  <si>
    <t>КП "Маріупольське виробниче управління водопровідно-каналізаційного господарства"</t>
  </si>
  <si>
    <t>37/ВШ</t>
  </si>
  <si>
    <t>UA-2017-03-01-000929-a</t>
  </si>
  <si>
    <t>021:2015 90510000-5 - Утилізація сміття та поводження зі сміттям</t>
  </si>
  <si>
    <t>90510000-5 - Утилізація/видалення сміття та поводження зі сміттям</t>
  </si>
  <si>
    <t>КП "Комунальник"</t>
  </si>
  <si>
    <t>32164402</t>
  </si>
  <si>
    <t>760</t>
  </si>
  <si>
    <t>UA-2017-03-02-000267-a</t>
  </si>
  <si>
    <t>021:2015 90920000-2 Послуги з санітарної-гігієнічної обробки примішень</t>
  </si>
  <si>
    <t>90920000-2 - Послуги із санітарно-гігієнічної обробки приміщень</t>
  </si>
  <si>
    <t>ТОВ "Санпроф"</t>
  </si>
  <si>
    <t>24327645</t>
  </si>
  <si>
    <t>378</t>
  </si>
  <si>
    <t>UA-2017-03-23-000010-b</t>
  </si>
  <si>
    <t>ДК 021:2015 35120000-1 системи та пристрої нагляду та охорони</t>
  </si>
  <si>
    <t>35120000-1 - Системи та пристрої нагляду та охорони</t>
  </si>
  <si>
    <t>Маріупольський МВ УПО в Донецькій області</t>
  </si>
  <si>
    <t>40109084</t>
  </si>
  <si>
    <t>1972/Мр</t>
  </si>
  <si>
    <t>UA-2017-03-29-000157-b</t>
  </si>
  <si>
    <t>Навчальні засоби (021:2015 80520000-5)</t>
  </si>
  <si>
    <t>80520000-5 - Навчальні засоби</t>
  </si>
  <si>
    <t xml:space="preserve">Навчально-методичний центр ЦЗ та БЖД Донецької області </t>
  </si>
  <si>
    <t>26154203</t>
  </si>
  <si>
    <t>34/188МЦЗ</t>
  </si>
  <si>
    <t>UA-2017-04-24-000224-b</t>
  </si>
  <si>
    <t>Закупівля класних журналів 1-4,5-11 класи</t>
  </si>
  <si>
    <t>22810000-1 - Паперові чи картонні реєстраційні журнали</t>
  </si>
  <si>
    <t>ФОП Жукалін Л.Д.</t>
  </si>
  <si>
    <t>2196121593</t>
  </si>
  <si>
    <t>UA-2017-04-24-000252-b</t>
  </si>
  <si>
    <t>Агрохімічна продукція</t>
  </si>
  <si>
    <t>24450000-3 - Агрохімічна продукція</t>
  </si>
  <si>
    <t>ФОП Широбоков Едуард Григорійович</t>
  </si>
  <si>
    <t>1724915030</t>
  </si>
  <si>
    <t>37/2</t>
  </si>
  <si>
    <t>UA-2017-05-11-000607-b</t>
  </si>
  <si>
    <t>ДК 021:2015 79710000-4 охоронні послуги</t>
  </si>
  <si>
    <t>79710000-4 - Охоронні послуги</t>
  </si>
  <si>
    <t>1972</t>
  </si>
  <si>
    <t>UA-2017-05-19-002519-b</t>
  </si>
  <si>
    <t>2132/Мр</t>
  </si>
  <si>
    <t>UA-2017-05-26-000275-b</t>
  </si>
  <si>
    <t>Лікарські засоби</t>
  </si>
  <si>
    <t>33690000-3 - Лікарські засоби різні</t>
  </si>
  <si>
    <t>КП "Міська комунальна аптека"</t>
  </si>
  <si>
    <t>34027989</t>
  </si>
  <si>
    <t>UA-2017-06-06-000278-b</t>
  </si>
  <si>
    <t>Фармацевтична продукція 021:2015 33600000-6</t>
  </si>
  <si>
    <t>33600000-6 - Фармацевтична продукція</t>
  </si>
  <si>
    <t>UA-2017-07-12-000871-b</t>
  </si>
  <si>
    <t>Заміна запірної арматури, засувки</t>
  </si>
  <si>
    <t>42131230-7 - Засувки</t>
  </si>
  <si>
    <t>UA-2017-08-03-001297-b</t>
  </si>
  <si>
    <t>ДК 021:2015 80510000-2 ( послуги з професійної  рідготовки спеціалістів)</t>
  </si>
  <si>
    <t>80510000-2 - Послуги з професійної підготовки спеціалістів</t>
  </si>
  <si>
    <t>Комунальне  підприємство "Учбово-консультаційний центр"</t>
  </si>
  <si>
    <t>24155204</t>
  </si>
  <si>
    <t>338</t>
  </si>
  <si>
    <t>UA-2017-09-04-000141-b</t>
  </si>
  <si>
    <t>021:2015 41110000-3 питна вода</t>
  </si>
  <si>
    <t>КП"Маріупольське ВУВКГ"</t>
  </si>
  <si>
    <t>37/ВШ/Б</t>
  </si>
  <si>
    <t>UA-2017-10-19-000450-a</t>
  </si>
  <si>
    <t>Послуги з ремонту і технічного обслуговування насосів, клапанів, кранів і металевих контейнерів</t>
  </si>
  <si>
    <t>50510000-3 - Послуги з ремонту і технічного обслуговування насосів, клапанів, кранів і металевих контейнерів</t>
  </si>
  <si>
    <t>ТОВ "Міком ЛТД"</t>
  </si>
  <si>
    <t>36112630</t>
  </si>
  <si>
    <t>UA-2017-11-07-000322-c</t>
  </si>
  <si>
    <t>Комунальне підприємство шкільного харчування "Восток"</t>
  </si>
  <si>
    <t>13508295</t>
  </si>
  <si>
    <t>37/1</t>
  </si>
  <si>
    <t>UA-2017-11-08-000654-c</t>
  </si>
  <si>
    <t>Конструкції та їх частини. Вікна металопластикові з монтажем.</t>
  </si>
  <si>
    <t>44210000-5 - Конструкції та їх частини</t>
  </si>
  <si>
    <t>UA-2017-11-16-001854-a</t>
  </si>
  <si>
    <t>ДК 021:2015-44210000-5 Конструкції та їхчастини. Вікна металопластикові з монтажем.</t>
  </si>
  <si>
    <t>UA-2017-11-28-003115-c</t>
  </si>
  <si>
    <t>Послуги їдалень (ДК 021:2015-55510000-8 Послуги їдалень) - Меню 1 - 155 одиниць, меню 2 - 930 одиниць, меню 3 - 6665 одиниць, меню 4 - 13175 одиниць, меню 5 - 761 одиниця</t>
  </si>
  <si>
    <t>55510000-8 - Послуги їдалень; 55510000-8 - Послуги їдалень; 55510000-8 - Послуги їдалень; 55510000-8 - Послуги їдалень; 55510000-8 - Послуги їдалень</t>
  </si>
  <si>
    <t>Відкриті торги</t>
  </si>
  <si>
    <t>UA-2017-11-30-000694-c</t>
  </si>
  <si>
    <t xml:space="preserve">Про надання послуг з технічної підтримки програмного продукту ДК 021:2015 72260000-5 Послуги, пов"язані з програмним забезпеченням </t>
  </si>
  <si>
    <t>72260000-5 - Послуги, пов’язані з програмним забезпеченням</t>
  </si>
  <si>
    <t>ТОВ "НОВІ ЗНАННЯ"</t>
  </si>
  <si>
    <t>35856569</t>
  </si>
  <si>
    <t>11339</t>
  </si>
  <si>
    <t>UA-2017-12-15-000680-b</t>
  </si>
  <si>
    <t>Приватне підприємство "ЕКІПАЖ"</t>
  </si>
  <si>
    <t>21241245</t>
  </si>
  <si>
    <t>ШО-3011/6</t>
  </si>
  <si>
    <t>UA-2017-12-21-002904-c</t>
  </si>
  <si>
    <t>ДК 021:2015 55510000-8 послуги їдалень</t>
  </si>
  <si>
    <t>КПШХ "Восток"</t>
  </si>
  <si>
    <t>37/3</t>
  </si>
  <si>
    <t>UA-2018-01-02-000682-a</t>
  </si>
  <si>
    <t>Постачання теплової енергії (09320000-8 Пара, гаряча вода та пов’язана продукція )</t>
  </si>
  <si>
    <t>09320000-8 - Пара, гаряча вода та пов’язана продукція</t>
  </si>
  <si>
    <t>UA-2018-01-16-000338-c</t>
  </si>
  <si>
    <t>ДК 021:2015:41110000-3 Питна вода</t>
  </si>
  <si>
    <t>№ 37/вш/б</t>
  </si>
  <si>
    <t>UA-2018-01-16-000369-c</t>
  </si>
  <si>
    <t>UA-2018-01-16-002008-c</t>
  </si>
  <si>
    <t>ДК 021:2015-55510000-8 Послуги їдалень</t>
  </si>
  <si>
    <t>UA-2018-01-18-000423-b</t>
  </si>
  <si>
    <t>UA-2018-01-18-000441-b</t>
  </si>
  <si>
    <t>послуги з централізованого водовідведення (90430000-0 – Послуги з відведення стічних вод)</t>
  </si>
  <si>
    <t>90430000-0 - Послуги з відведення стічних вод</t>
  </si>
  <si>
    <t>UA-2018-01-30-000584-c</t>
  </si>
  <si>
    <t>Охоронні послуги</t>
  </si>
  <si>
    <t>3359</t>
  </si>
  <si>
    <t>UA-2018-01-30-000765-c</t>
  </si>
  <si>
    <t>Послуги телефонного зв,язку і передачі даних</t>
  </si>
  <si>
    <t>64210000-1 - Послуги телефонного зв’язку та передачі даних</t>
  </si>
  <si>
    <t>ПАТ "Укртелеком"</t>
  </si>
  <si>
    <t>21560766</t>
  </si>
  <si>
    <t>93-988</t>
  </si>
  <si>
    <t>UA-2018-02-06-001244-a</t>
  </si>
  <si>
    <t>Монтаж протипожежних дверей</t>
  </si>
  <si>
    <t>45223100-7 - Монтаж металевих конструкцій</t>
  </si>
  <si>
    <t>скасована</t>
  </si>
  <si>
    <t>UA-2018-02-06-001266-a</t>
  </si>
  <si>
    <t>UA-2018-02-07-000131-a</t>
  </si>
  <si>
    <t>Послуги з санітарно-гігієнічній обробці приміщень</t>
  </si>
  <si>
    <t>ТОВАРИСТВО З ОБМЕЖЕНОЮ ВІДПОВІДАЛЬНІСТЮ "САНПРОФ"</t>
  </si>
  <si>
    <t>37с</t>
  </si>
  <si>
    <t>UA-2018-02-09-002765-a</t>
  </si>
  <si>
    <t>ПУБЛІЧНЕ АКЦІОНЕРНЕ ТОВАРИСТВО "ДТЕК ДОНЕЦЬКОБЛЕНЕРГО"</t>
  </si>
  <si>
    <t>UA-2018-03-26-000212-b</t>
  </si>
  <si>
    <t>Послуги з ремонту і технічного обслуговування та заправка вогнегасників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</si>
  <si>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</si>
  <si>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"ПЛОТ"</t>
  </si>
  <si>
    <t>30922538</t>
  </si>
  <si>
    <t>UA-2018-03-30-000187-a</t>
  </si>
  <si>
    <t>Монтаж сталевих конструкцій (монтаж протипожежних дверей)</t>
  </si>
  <si>
    <t>UA-2018-04-04-000265-a</t>
  </si>
  <si>
    <t>Утилізація сміття та поводження зі сміттям</t>
  </si>
  <si>
    <t>КОМУНАЛЬНЕ ПІДПРИЄМСТВО "КОМУНАЛЬНИК"</t>
  </si>
  <si>
    <t>UA-2018-04-16-001654-a</t>
  </si>
  <si>
    <t>ДК 021:2015 33600000-6 фармацевтична продукція</t>
  </si>
  <si>
    <t>ТОВАРИСТВО З ОБМЕЖЕНОЮ ВІДПОВІДАЛЬНІСТЮ "ПЕРША МАРІУПОЛЬСЬКА СОЦІАЛЬНА АПТЕКА"</t>
  </si>
  <si>
    <t>40376840</t>
  </si>
  <si>
    <t>UA-2018-04-18-000078-a</t>
  </si>
  <si>
    <t xml:space="preserve">Різні послуги, пов,язані з діловою сферою </t>
  </si>
  <si>
    <t>79990000-0 - Різні послуги, пов’язані з діловою сферою</t>
  </si>
  <si>
    <t>МІСЬКЕ КОМУНАЛЬНЕ ПІДПРИЄМСТВО "МАРІУПОЛЬСЬКЕ БЮРО ТЕХНІЧНОЇ ІНВЕНТАРІЗАЦІЇ"</t>
  </si>
  <si>
    <t>03336574</t>
  </si>
  <si>
    <t>59</t>
  </si>
  <si>
    <t>UA-2018-05-04-001441-a</t>
  </si>
  <si>
    <t>Протипожежне , рятувальне та захисне обладнання</t>
  </si>
  <si>
    <t>35110000-8 - Протипожежне, рятувальне та захисне обладнання</t>
  </si>
  <si>
    <t>ТОВАРИСТВО З ОБМЕЖЕНОЮ ВІДПОВІДАЛЬНІСТЮ "ТЕХНІЧНИЙ СЕРВІСНИЙ ЦЕНТР "ІНЖЕНЕРІНГ"</t>
  </si>
  <si>
    <t>32609246</t>
  </si>
  <si>
    <t>UA-2018-05-04-001504-a</t>
  </si>
  <si>
    <t>Протипожежне .рятувальне та захисне обладнання</t>
  </si>
  <si>
    <t>UA-2018-05-07-001145-a</t>
  </si>
  <si>
    <t xml:space="preserve"> Навчальні засоби з проведення функціонального навчання з питань цивільного захисту</t>
  </si>
  <si>
    <t>Навчально- методичний центр ЦЗ та БЖД Донецької області</t>
  </si>
  <si>
    <t>261542013</t>
  </si>
  <si>
    <t>34/331МЦЗ</t>
  </si>
  <si>
    <t>UA-2018-05-18-001767-a</t>
  </si>
  <si>
    <t>Паперові чи картонні реєстраційні журнали(класні журнали)</t>
  </si>
  <si>
    <t>Жукалін Леонід Дмитрович</t>
  </si>
  <si>
    <t>UA-2018-05-29-002761-a</t>
  </si>
  <si>
    <t>ДК 021:2015 55510000-8 Послуги Їдалень</t>
  </si>
  <si>
    <t>КОМУНАЛЬНЕ ПІДПРИЄМСТВО "ПИТАНИЕ"</t>
  </si>
  <si>
    <t>01558922</t>
  </si>
  <si>
    <t>UA-2018-09-13-002290-c</t>
  </si>
  <si>
    <t>офісне устаткування та приладдя різне ( папір)</t>
  </si>
  <si>
    <t>30190000-7 - Офісне устаткування та приладдя різне</t>
  </si>
  <si>
    <t>ФОП Артюхова Р.Д.</t>
  </si>
  <si>
    <t>1416407749</t>
  </si>
  <si>
    <t>UA-2018-09-13-002417-c</t>
  </si>
  <si>
    <t>Послуги з озеленення територій та утримання зелених насаджень</t>
  </si>
  <si>
    <t>77310000-6 - Послуги з озеленення територій та утримання зелених насаджень</t>
  </si>
  <si>
    <t>МАРІУПОЛЬСЬКЕ КОМУНАЛЬНЕ ПІДПРИЄМСТВО ЗЕЛЕНОГО БУДІВНИЦТВА</t>
  </si>
  <si>
    <t>03361845</t>
  </si>
  <si>
    <t>607</t>
  </si>
  <si>
    <t>UA-2018-09-25-000536-c</t>
  </si>
  <si>
    <t>КОМУНАЛЬНЕ КОМЕРЦІЙНЕ ПІДПРИЄМСТВО МАРІУПОЛЬСЬКОЇ МІСЬКОЇ РАДИ "МАРІУПОЛЬТЕПЛОМЕРЕЖА"</t>
  </si>
  <si>
    <t>759/1</t>
  </si>
  <si>
    <t>UA-2018-11-01-001423-b</t>
  </si>
  <si>
    <t>Машини для обробки даних (апаратна частина)</t>
  </si>
  <si>
    <t>30210000-4 - Машини для обробки даних (апаратна частина)</t>
  </si>
  <si>
    <t>ТОВАРИСТВО З ОБМЕЖЕНОЮ ВІДПОВІДАЛЬНІСТЮ "ВІВЕРЕ БЕНЕ 2"</t>
  </si>
  <si>
    <t>35265531</t>
  </si>
  <si>
    <t xml:space="preserve">  мар37</t>
  </si>
  <si>
    <t>UA-2018-11-23-000591-c</t>
  </si>
  <si>
    <t xml:space="preserve"> Навчання посадових осіб з питань Послуги з професійної підготовки спеціалістів</t>
  </si>
  <si>
    <t>КОМУНАЛЬНЕ ПІДПРИЄМСТВО "УЧБОВО-КОНСУЛЬТАЦІЙНИЙ ЦЕНТР"</t>
  </si>
  <si>
    <t>921</t>
  </si>
  <si>
    <t>UA-2018-12-17-002917-c</t>
  </si>
  <si>
    <t>Переговорна процедура</t>
  </si>
  <si>
    <t>UA-2019-01-02-000857-c</t>
  </si>
  <si>
    <t>Послуги з прибирання -( послуги з утримання територій прилеглих до учбових навчально-виховних закладів)</t>
  </si>
  <si>
    <t>90910000-9 - Послуги з прибирання</t>
  </si>
  <si>
    <t>№8-Ш37</t>
  </si>
  <si>
    <t>UA-2019-01-04-000525-c</t>
  </si>
  <si>
    <t>Охоронні послугі</t>
  </si>
  <si>
    <t>МАРІУПОЛЬСЬКИЙ МІЖРАЙОННИЙ ВІДДІЛ УПРАВЛІННЯ ПОЛІЦІЇ ОХОРОНИ В ДОНЕЦЬКІЙ ОБЛАСТІ</t>
  </si>
  <si>
    <t>4561</t>
  </si>
  <si>
    <t>UA-2019-01-11-001284-c</t>
  </si>
  <si>
    <t>послуги з централізованого водопостачання (65110000-7 - розподіл води)</t>
  </si>
  <si>
    <t>UA-2019-01-11-001334-c</t>
  </si>
  <si>
    <t>UA-2019-01-16-000342-c</t>
  </si>
  <si>
    <t>Питна вода</t>
  </si>
  <si>
    <t>КОМУНАЛЬНЕ ПІДПРИЄМСТВО "МАРІУПОЛЬСЬКЕ ВИРОБНИЧЕ УПРАВЛІННЯ ВОДОПРОВІДНО-КАНАЛІЗАЦІЙНОГО ГОСПОДАРСТВА"</t>
  </si>
  <si>
    <t>UA-2019-01-16-000402-c</t>
  </si>
  <si>
    <t>UA-2019-01-25-000083-b</t>
  </si>
  <si>
    <t>Послуги по санітарно-гігієнічній обробки приміщень</t>
  </si>
  <si>
    <t>37-с</t>
  </si>
  <si>
    <t>UA-2019-01-30-001350-b</t>
  </si>
  <si>
    <t>ТОВАРИСТВО З ОБМЕЖЕНОЮ ВІДПОВІДАЛЬНІСТЮ "ДОНЕЦЬКІ ЕНЕРГЕТИЧНІ ПОСЛУГИ"</t>
  </si>
  <si>
    <t>42086719</t>
  </si>
  <si>
    <t>448</t>
  </si>
  <si>
    <t>UA-2019-02-14-001732-b</t>
  </si>
  <si>
    <t>Навчання посадових осіб з цивільного захисту та безпеки життєдіяльності</t>
  </si>
  <si>
    <t>НАВЧАЛЬНО-МЕТОДИЧНИЙ ЦЕНТР ЦИВІЛЬНОГО ЗАХИСТУ ТА БЕЗПЕКИ ЖИТТЄДІЯЛЬНОСТІ ДОНЕЦЬКОЇ ОБЛАСТІ</t>
  </si>
  <si>
    <t>60/МЦЗ</t>
  </si>
  <si>
    <t>UA-2019-03-13-000970-a</t>
  </si>
  <si>
    <t>Проведення вогнезахисної обробки дерев'яних конструкцій горища</t>
  </si>
  <si>
    <t>45343100-4 - Роботи із забезпечення вогнезахисту</t>
  </si>
  <si>
    <t>UA-2019-03-14-001267-a</t>
  </si>
  <si>
    <t>Паперові чи картонні реєстраційні журнали( класні журнали для 1-4кл та 5-11кл)</t>
  </si>
  <si>
    <t>№37</t>
  </si>
  <si>
    <t>UA-2019-03-15-000964-a</t>
  </si>
  <si>
    <t>UA-2019-03-21-000419-a</t>
  </si>
  <si>
    <t>Фармацевтична продукція</t>
  </si>
  <si>
    <t>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</t>
  </si>
  <si>
    <t>UA-2019-03-26-001936-b</t>
  </si>
  <si>
    <t>Протипожежне,рятувальне та захисне обладнання</t>
  </si>
  <si>
    <t>ТОВАРИСТВО З ОБМЕЖЕНОЮ ВІДПОВІДАЛЬНІСТЮ "СКАНДІК ТЕХНОТРЕЙД"</t>
  </si>
  <si>
    <t>36842495</t>
  </si>
  <si>
    <t>UA-2019-05-02-000943-a</t>
  </si>
  <si>
    <t>ПОСЛУГИ ЛІКУВАЛЬНИХ ЗАКЛАДІВ</t>
  </si>
  <si>
    <t>85110000-3 - Послуги лікувальних закладів та супутні послуги</t>
  </si>
  <si>
    <t>КОМУНАЛЬНА УСТАНОВА "МАРІУПОЛЬСЬКА МІСЬКА ЛІКАРНЯ №9-МЕДИКО-САНІТАРНА ЧАСТИНА ПРАЦІВНИКІВ ДЕПАРТАМЕНТУ МОРСЬКОГО ФЛОТУ"</t>
  </si>
  <si>
    <t>05480826</t>
  </si>
  <si>
    <t>112</t>
  </si>
  <si>
    <t>UA-2019-07-10-001233-b</t>
  </si>
  <si>
    <t>Послуги з озеленення територій та утримання зелених насаджень(послуги зі звалювання,обрізування дерев та викошування газону)</t>
  </si>
  <si>
    <t>407-Ш37</t>
  </si>
  <si>
    <t>UA-2019-08-15-000313-a</t>
  </si>
  <si>
    <t>Послуги зі встановлення комп'ютерної техніки та обладнання для обробки інформації(Встановлення та підключення проекторів)</t>
  </si>
  <si>
    <t>51610000-1 - Послуги зі встановлення комп’ютерної техніки та обладнання для обробки інформації</t>
  </si>
  <si>
    <t>ФОП Дьяченко Олексій Валерійович</t>
  </si>
  <si>
    <t>3056804619</t>
  </si>
  <si>
    <t>UA-2019-09-10-001153-b</t>
  </si>
  <si>
    <t>Послуги з ремонту і технічного обслуговування вимірювальних,випробувальних і контрольних приладів ( Перезарядка вогнегасників)  Міський бюджет</t>
  </si>
  <si>
    <t>UA-2019-12-05-002668-b</t>
  </si>
  <si>
    <t>Послуги з професійної підготовки спеціалістів</t>
  </si>
  <si>
    <t>0562</t>
  </si>
  <si>
    <t>UA-2019-12-10-001991-b</t>
  </si>
  <si>
    <t>Послуги з організації харчування за кодом ДК 21:2015 55320000-9 Послуги з організації харчування (меню 1-15811 одиниць,меню 2- 1025одиниць)</t>
  </si>
  <si>
    <t>55320000-9 - Послуги з організації харчування; 55320000-9 - Послуги з організації харчування</t>
  </si>
  <si>
    <t>UA-2019-12-17-005934-b</t>
  </si>
  <si>
    <t>Послуги з компенсації перетікань реактивної  електричної  енергії (послуги з розподілу ( передачі)  електричної енергії)</t>
  </si>
  <si>
    <t>65310000-9 - Розподіл електричної енергії</t>
  </si>
  <si>
    <t>АКЦІОНЕРНЕ ТОВАРИСТВО "ДТЕК ДОНЕЦЬКІ ЕЛЕКТРОМЕРЕЖІ"</t>
  </si>
  <si>
    <t>UA-2019-12-27-000308-b</t>
  </si>
  <si>
    <t>теплова енергія</t>
  </si>
  <si>
    <t>закритий</t>
  </si>
  <si>
    <t>UA-2020-01-14-002110-c</t>
  </si>
  <si>
    <t>Послуги з організації харчування ДК 021:2015-55320000-9</t>
  </si>
  <si>
    <t>55320000-9 - Послуги з організації харчування</t>
  </si>
  <si>
    <t>КОМУНАЛЬНЕ ПІДПРИЄМСТВО  "ПИТАНИЕ"</t>
  </si>
  <si>
    <t>37/Ш</t>
  </si>
  <si>
    <t>UA-2020-01-15-001052-c</t>
  </si>
  <si>
    <t>Охоронні послуги ДК 021:2015-79710000-4Охоронні послуги</t>
  </si>
  <si>
    <t>5912</t>
  </si>
  <si>
    <t>UA-2020-01-16-001776-b</t>
  </si>
  <si>
    <t>UA-2020-01-21-000801-a</t>
  </si>
  <si>
    <t xml:space="preserve">Питна вода </t>
  </si>
  <si>
    <t>37 ВШ</t>
  </si>
  <si>
    <t>UA-2020-01-21-000950-a</t>
  </si>
  <si>
    <t>Питна вода ДК 021:2015:41110000-3 питна вода</t>
  </si>
  <si>
    <t>37 ВШ Б</t>
  </si>
  <si>
    <t>UA-2020-02-12-001930-a</t>
  </si>
  <si>
    <t>розподіл води</t>
  </si>
  <si>
    <t>№57/ЦВВ</t>
  </si>
  <si>
    <t>UA-2020-02-12-002194-a</t>
  </si>
  <si>
    <t xml:space="preserve">послуги водовідведення </t>
  </si>
  <si>
    <t>UA-2020-02-12-002317-a</t>
  </si>
  <si>
    <t>послуги водовідведення</t>
  </si>
  <si>
    <t>№57/ЦВС</t>
  </si>
  <si>
    <t>UA-2020-02-17-002378-a</t>
  </si>
  <si>
    <t>90920000-2 - Послуги із санітарно-гігієнічної обробки приміщень; 90920000-2 - Послуги із санітарно-гігієнічної обробки приміщень</t>
  </si>
  <si>
    <t>UA-2020-02-18-003581-b</t>
  </si>
  <si>
    <t>Послуги з прибирання ( послуги з утримання територій прилеглих до учбових навчально-виховних закладів)</t>
  </si>
  <si>
    <t>№7-Ш37</t>
  </si>
  <si>
    <t>UA-2020-02-21-000988-b</t>
  </si>
  <si>
    <t>Навчання з питань цивільного захисту (ДК 021:2015 80520000-5 навчальні засоби)</t>
  </si>
  <si>
    <t>217/МЦЗ</t>
  </si>
  <si>
    <t>UA-2020-02-21-001353-b</t>
  </si>
  <si>
    <t>Навчання з питань цивільного захисту (ДК 021: 2015 80520000-5 навчальні засоби)</t>
  </si>
  <si>
    <t>156/МСП</t>
  </si>
  <si>
    <t>UA-2020-02-25-001677-c</t>
  </si>
  <si>
    <t>Послуги з надання пакетів оновлень програмного комплексу "КУРС"(ДК 021:2015:71620000-0  "Аналітичні послуги"</t>
  </si>
  <si>
    <t>71620000-0 - Аналітичні послуги</t>
  </si>
  <si>
    <t>ТОВАРИСТВО З ОБМЕЖЕНОЮ ВІДПОВІДАЛЬНІСТЮ "НОВІ ЗНАННЯ"</t>
  </si>
  <si>
    <t>16027</t>
  </si>
  <si>
    <t>UA-2020-04-15-003702-b</t>
  </si>
  <si>
    <t>71/Ш37</t>
  </si>
  <si>
    <t>UA-2020-04-17-005780-b</t>
  </si>
  <si>
    <t>Електрична енергія</t>
  </si>
  <si>
    <t>UA-2020-04-30-000676-b</t>
  </si>
  <si>
    <t>Надання послуг  з поводження з побутовими відходами(з вивезення побутових відходів)</t>
  </si>
  <si>
    <t>UA-2020-05-22-002678-c</t>
  </si>
  <si>
    <t>Паперові чи картонні реєстраційні журнали</t>
  </si>
  <si>
    <t>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</t>
  </si>
  <si>
    <t>ЖУКАЛІН ЛЕОНІД ДМИТРОВИЧ</t>
  </si>
  <si>
    <t>UA-2020-06-09-002390-b</t>
  </si>
  <si>
    <t>0084</t>
  </si>
  <si>
    <t>UA-2020-06-18-002388-c</t>
  </si>
  <si>
    <t>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</t>
  </si>
  <si>
    <t>ТОВАРИСТВО З ОБМЕЖЕНОЮ ВІДПОВІДАЛЬНІСТЮ "ПЕРША  МАРІУПОЛЬСЬКА СОЦІАЛЬНА АПТЕКА"</t>
  </si>
  <si>
    <t>UA-2020-07-06-003500-a</t>
  </si>
  <si>
    <t>Вироби для парків розваг,настільних або кімнатних ігор (обладнання для сенсорної кімнати та корекційної роботи в інклюзивних класах)</t>
  </si>
  <si>
    <t>37530000-2 - Вироби для парків розваг, настільних або кімнатних ігор</t>
  </si>
  <si>
    <t>UA-2020-07-20-003191-b</t>
  </si>
  <si>
    <t>UA-2020-07-27-002508-c</t>
  </si>
  <si>
    <t>Електрична  енергія</t>
  </si>
  <si>
    <t>09310000-5 - Електрична енергія; 09310000-5 - Електрична енергія</t>
  </si>
  <si>
    <t>UA-2020-08-20-005076-a</t>
  </si>
  <si>
    <t>Послугіи з ремонту і технічного обслуговування вимірювальних,випробувальних і контрольних приладів</t>
  </si>
  <si>
    <t>UA-2020-08-26-003761-a</t>
  </si>
  <si>
    <t xml:space="preserve">Диспенсер автоматичний  для дезінфікуючого засобу, стійка-тримач до автоматичних дозаторів для дезінфекції за кодом ДК 021:2015 42960000-3- Системи керування та контролю, друкарське і графічне обладнання та обладнання для автоматизації офісу й обробки інформації".
</t>
  </si>
  <si>
    <t>42960000-3 - Системи керування та контролю, друкарське і графічне обладнання та обладнання для автоматизації офісу й обробки інформації; 42960000-3 - Системи керування та контролю, друкарське і графічне обладнання та обладнання для автоматизації офісу й обробки інформації</t>
  </si>
  <si>
    <t>КИРІЄНКО АЛЛА ПЕТРІВНА</t>
  </si>
  <si>
    <t>2986816184</t>
  </si>
  <si>
    <t>37д</t>
  </si>
  <si>
    <t>UA-2020-08-31-005484-b</t>
  </si>
  <si>
    <t>Термінал доступу з камерами розпізнавання облич та тепловізором з функцією температурного скринінгу, комплектарно з внутрішнім мережевим монітором за кодом ДК 021:2015 35120000-1-Системи та пристрої нагляду та охорони</t>
  </si>
  <si>
    <t>ФОП Коробко Ю.М.</t>
  </si>
  <si>
    <t>3138013864</t>
  </si>
  <si>
    <t>37т</t>
  </si>
  <si>
    <t>UA-2020-08-31-005760-b</t>
  </si>
  <si>
    <t>Самоклеюча стрічка для підлоги за кодом ДК 44420000-0 –Будівельні товари (артикул виробника 60760)</t>
  </si>
  <si>
    <t>44420000-0 - Будівельні товари</t>
  </si>
  <si>
    <t>ТОВАРИСТВО З ОБМЕЖЕНОЮ ВІДПОВІДАЛЬНІСТЮ "ІМКО LTD"</t>
  </si>
  <si>
    <t>23700160</t>
  </si>
  <si>
    <t>UA-2020-08-31-006002-b</t>
  </si>
  <si>
    <t>Пов’язка захисна (маска) за кодом ДК 18140000-2 - Аксесуари до робочого одягу</t>
  </si>
  <si>
    <t>18140000-2 - Аксесуари до робочого одягу; 18140000-2 - Аксесуари до робочого одягу</t>
  </si>
  <si>
    <t>ДАНИЛОВ ОЛЕКСАНДР ВІТАЛІЙОВИЧ</t>
  </si>
  <si>
    <t>3125400333</t>
  </si>
  <si>
    <t>37м</t>
  </si>
  <si>
    <t>UA-2020-09-01-004885-b</t>
  </si>
  <si>
    <t>Послуги щодо проведення періодичного медичного огляд ДК 021:2015 (CPV)-85110000-3 послуги лікувальних закладів</t>
  </si>
  <si>
    <t>КОМУНАЛЬНЕ НЕКОМЕРЦІЙНЕ ПІДПРИЄМСТВО МАРІУПОЛЬСЬКОЇ МІСЬКОЇ РАДИ "МАРІУПОЛЬСЬКА МІСЬКА ЛІКАРНЯ №9"</t>
  </si>
  <si>
    <t>43522608</t>
  </si>
  <si>
    <t>UA-2020-09-28-003933-a</t>
  </si>
  <si>
    <t>Багатофункціональний струний пристрій Epson L3150 або еквівалент для учнів інклюзивних класів.</t>
  </si>
  <si>
    <t>30230000-0 - Комп’ютерне обладнання</t>
  </si>
  <si>
    <t>UA-2020-09-29-002844-a</t>
  </si>
  <si>
    <t>Портативний комп'ютер(ноутбук) для учнів інклюзивних класів</t>
  </si>
  <si>
    <t>UA-2020-11-26-001920-b</t>
  </si>
  <si>
    <t>Комп'ютерне обладнання ( захищені носії особистих ключів )</t>
  </si>
  <si>
    <t>ЯКОВЧУК АНДРІЙ СЕРГІЙОВИЧ</t>
  </si>
  <si>
    <t>3172503237</t>
  </si>
  <si>
    <t>UA-2020-12-04-010225-b</t>
  </si>
  <si>
    <t>Послуги з утримання територій,прилеглих до учбових навчально-виховних закладів за кодом ДК 021:2015  90910000-9 Послуги з прибирання</t>
  </si>
  <si>
    <t>UA-2020-12-03-003759-b</t>
  </si>
  <si>
    <t>Електрична енергія за кодом ДК 021:2015-09310000-5 Електрична енергія</t>
  </si>
  <si>
    <t>ТОВ Донецькі енергетичні послуги</t>
  </si>
  <si>
    <t>кваліфікація</t>
  </si>
  <si>
    <t>UA-2020-09-28-002384-a</t>
  </si>
  <si>
    <t>Вироби для парків розваг ,настільних або кімнатних ігор (Обладнання для сенсорної кімнати та корекційної роботи в інклюзивних класах)</t>
  </si>
  <si>
    <t>ФОП "ГЕРАСИМОВ ІГОР МИХАЙЛОВИЧ"</t>
  </si>
  <si>
    <t>3240307492</t>
  </si>
  <si>
    <t>UA-2020-07-16-002768-c</t>
  </si>
  <si>
    <t>Дезинфікуючий засіб "Септомакс" (або еквівалент) ДК 021:2015 24450000-3 Агрохімічна продукція</t>
  </si>
  <si>
    <t>ТОВ Біонік</t>
  </si>
  <si>
    <t>38120926</t>
  </si>
  <si>
    <t>UA-2020-06-02-001668-b</t>
  </si>
  <si>
    <t>Електрична енергия</t>
  </si>
  <si>
    <t>UA-2020-05-06-000974-b</t>
  </si>
  <si>
    <t>Поточний ремонт приміщення спортивного залу (заміна освітлювальних пристроїв з частковою заміною електричних мереж)</t>
  </si>
  <si>
    <t>45310000-3 - Електромонтажні роботи</t>
  </si>
  <si>
    <t>ТОВ "СТОИК-СЕРВІС"</t>
  </si>
  <si>
    <t>42756734</t>
  </si>
  <si>
    <t>UA-2020-01-24-001134-b</t>
  </si>
  <si>
    <t>Послуги з організації хпрчування за кодом ДК 021:2015-55320000-9-Послуги з організації хпрчування</t>
  </si>
  <si>
    <t>Комунальне Підприємство "Питание"</t>
  </si>
  <si>
    <t>37/ш/1</t>
  </si>
  <si>
    <t>UA-2019-12-26-001676-b</t>
  </si>
  <si>
    <t>Послуги  з організації харчування код ДК 21:2015 55320000-9 Послуги з організації харчування</t>
  </si>
  <si>
    <t>UA-2019-10-30-001792-b</t>
  </si>
  <si>
    <t>Послуги у сфері локальних мереж</t>
  </si>
  <si>
    <t>72710000-0 - Послуги у сфері локальних мереж</t>
  </si>
  <si>
    <t>ТОВ "ТВП "ФОРМАТ"</t>
  </si>
  <si>
    <t>40196287</t>
  </si>
  <si>
    <t>UA-2019-10-09-000468-b</t>
  </si>
  <si>
    <t>Комплект меблів для оснащення ресурсної кімнати</t>
  </si>
  <si>
    <t>39150000-8 - Меблі та приспособи різні</t>
  </si>
  <si>
    <t>ТОВ "УКРАЇНСЬКЕ НАВЧАННЯ"</t>
  </si>
  <si>
    <t>42186354</t>
  </si>
  <si>
    <t>UA-2019-07-29-000711-b</t>
  </si>
  <si>
    <t>Комплект електричних побутових приладів для оснащення ресурсної кімнати</t>
  </si>
  <si>
    <t>39710000-2 - Електричні побутові прилади</t>
  </si>
  <si>
    <t>ДРИГА ОЛЕКСАНДР ВІКТОРОВИЧ</t>
  </si>
  <si>
    <t>2755803590</t>
  </si>
  <si>
    <t>UA-2019-07-25-000524-b</t>
  </si>
  <si>
    <t>ФОП "ЧОБУР ОЛЕКСІЙ ВОЛОДИМИРОВИЧ"</t>
  </si>
  <si>
    <t>2907212739</t>
  </si>
  <si>
    <t>UA-2019-07-11-000610-b</t>
  </si>
  <si>
    <t>ГОРДІЄНКО ОЛЕНА ПЕТРІВНА</t>
  </si>
  <si>
    <t>2372221549</t>
  </si>
  <si>
    <t>UA-2019-06-25-000532-c</t>
  </si>
  <si>
    <t>Обладнання для ресурсної кімнати</t>
  </si>
  <si>
    <t>UA-2019-05-20-001225-a</t>
  </si>
  <si>
    <t>ТОВ "ЗЕВС ЛМ"</t>
  </si>
  <si>
    <t>34573966</t>
  </si>
  <si>
    <t>UA-2019-04-03-000892-b</t>
  </si>
  <si>
    <t>45440000-3 - Фарбування та скління</t>
  </si>
  <si>
    <t>ФОП МЕЛЬНИЧЕНКО ВІТАЛІЙ ВОЛОДИМИРОВИЧ</t>
  </si>
  <si>
    <t>3018024773</t>
  </si>
  <si>
    <t>UA-2019-03-20-000600-a</t>
  </si>
  <si>
    <t>Фарба в асортименті</t>
  </si>
  <si>
    <t>44810000-1 - Фарби</t>
  </si>
  <si>
    <t>ТОВ "ВП "ПОЛІСАН"</t>
  </si>
  <si>
    <t>32318370</t>
  </si>
  <si>
    <t>UA-2019-02-06-000589-b</t>
  </si>
  <si>
    <t>UA-2019-02-07-000596-b</t>
  </si>
  <si>
    <t>45220000-5 - Інженерні та будівельні роботи</t>
  </si>
  <si>
    <t>ФОП "СІДЛЕЦЬКИЙ АНДРІЙ ВАЛЕРІЙОВИЧ"</t>
  </si>
  <si>
    <t>3062803319</t>
  </si>
  <si>
    <t>37-</t>
  </si>
  <si>
    <t>UA-2019-01-17-000747-c</t>
  </si>
  <si>
    <t>Товариство з обмеженою відповідальністю "ВІК-ХХІ ВІК"</t>
  </si>
  <si>
    <t>38516299</t>
  </si>
  <si>
    <t>UA-2018-11-27-000964-c</t>
  </si>
  <si>
    <t>Послуги Їдалень -за кодом ДК 021-2015-55510000-8</t>
  </si>
  <si>
    <t>№37/Ш</t>
  </si>
  <si>
    <t>UA-2018-11-16-001334-a</t>
  </si>
  <si>
    <t>Медичне обладнання (Ваги медичні для визначення маси тіла .Підлогові.електронні )</t>
  </si>
  <si>
    <t>33100000-1 - Медичне обладнання</t>
  </si>
  <si>
    <t>ПРИВАТНЕ ВИРОБНИЧО-КОМЕРЦІЙНЕ ПІДПРИЄМСТВО " ВАЛЛЕНТА "</t>
  </si>
  <si>
    <t>23291827</t>
  </si>
  <si>
    <t>UA-2018-10-09-000809-c</t>
  </si>
  <si>
    <t>Комп'ютерне обладнання -(портативний комп'ютер-ноутбук. Богатофункціональний пристрій для друку,сканування,копіювання.)</t>
  </si>
  <si>
    <t>30210000-4 - Машини для обробки даних (апаратна частина); 30210000-4 - Машини для обробки даних (апаратна частина)</t>
  </si>
  <si>
    <t>ТОВ "КомпаКом"</t>
  </si>
  <si>
    <t>40484701</t>
  </si>
  <si>
    <t>UA-2018-05-31-001007-a</t>
  </si>
  <si>
    <t xml:space="preserve">Поточний ремонт по заміні вікон на металопластикові та улаштування відкосів  </t>
  </si>
  <si>
    <t>ТОВ ВКФ НІКС-М</t>
  </si>
  <si>
    <t>41635753</t>
  </si>
  <si>
    <t>№350</t>
  </si>
  <si>
    <t>UA-2018-05-18-000520-a</t>
  </si>
  <si>
    <t>Товариство з обмеженою відповідальністю "Виробничо-технічна фірма "Азовпроммонтаж"</t>
  </si>
  <si>
    <t>31971701</t>
  </si>
  <si>
    <t>UA-2018-02-06-000283-a</t>
  </si>
  <si>
    <t>ФОП Доброскок Сергій Миколайович</t>
  </si>
  <si>
    <t>3130319156</t>
  </si>
  <si>
    <t>48/18Х</t>
  </si>
  <si>
    <t>UA-2018-02-07-001136-a</t>
  </si>
  <si>
    <t>Послуги з ремонту технічного обслуговування вимірювальних, випробувальних і контрольних приладів</t>
  </si>
  <si>
    <t>ТОВ "РЕДТЕХ"</t>
  </si>
  <si>
    <t>41184796</t>
  </si>
  <si>
    <t>UA-2017-12-15-000166-b</t>
  </si>
  <si>
    <t>UA-2017-08-01-001062-b</t>
  </si>
  <si>
    <t>ДК 021:2015-44210000-5 Конструкції та їх частини .Вікна металопластикові з монтажем.</t>
  </si>
  <si>
    <t>ПП "Екіпаж"</t>
  </si>
  <si>
    <t>ШО-1708/08</t>
  </si>
  <si>
    <t>UA-2017-07-10-000925-b</t>
  </si>
  <si>
    <t>Віконні блоки з метало-пластику з замірами, доставкою, установкою, фурнітурою. (ДК: 021:2015:44210000-5  - Вікна)</t>
  </si>
  <si>
    <t>44221100-6 - Вікна</t>
  </si>
  <si>
    <t>UA-2016-12-07-000784-a</t>
  </si>
  <si>
    <t>Столи письмові з ДСП – 16мм (9 шт.), стільці офісні з кожзаму на металевому каркасі  – (18 шт.), стілець офісний без підлокітників – 5 шт.</t>
  </si>
  <si>
    <t>39121100-7 - Письмові столи</t>
  </si>
  <si>
    <t>ФОП Мариноха Андрій Олексійович</t>
  </si>
  <si>
    <t>1940721696</t>
  </si>
  <si>
    <t>UA-2016-11-16-000299-a</t>
  </si>
  <si>
    <t>Набір шкільних меблів для 1-4 класів (парти + стільці)</t>
  </si>
  <si>
    <t>39160000-1 - Шкільні меблі</t>
  </si>
  <si>
    <t>Фізична особа підприємець Тумайкін Денис Анатолійович</t>
  </si>
  <si>
    <t>2855212997</t>
  </si>
  <si>
    <t>UA-2016-11-16-000418-a</t>
  </si>
  <si>
    <t>Набір меблів для їдальні (10 столів та 20 лавок)</t>
  </si>
  <si>
    <t>39143000-6 - Меблі для спальні, їдальні та вітальні</t>
  </si>
  <si>
    <t>Звіт створено 16 грудня в 08:34 з використанням http://zakupki.prom.ua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</si>
</sst>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.mm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3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5" fontId="0" fillId="0" borderId="0" xfId="0" applyFont="1" applyFill="1" applyBorder="1" applyAlignment="1" applyProtection="1">
      <alignment/>
      <protection/>
    </xf>
    <xf numFmtId="1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1" fillId="0" borderId="0" xfId="0" applyFont="1" applyFill="1" applyBorder="1" applyAlignment="1" applyProtection="1">
      <alignment wrapText="1"/>
      <protection/>
    </xf>
    <xf numFmtId="4" fontId="0" fillId="0" borderId="0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52"/>
  <sheetViews>
    <sheetView tabSelected="1" workbookViewId="0" topLeftCell="A1">
      <pane ySplit="4" topLeftCell="A5" activePane="bottomLeft" state="frozen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20.00390625" style="0" customWidth="1"/>
    <col min="19" max="19" width="25.00390625" style="0" customWidth="1"/>
    <col min="20" max="20" width="10.00390625" style="0" customWidth="1"/>
    <col min="21" max="21" width="20.00390625" style="0" customWidth="1"/>
  </cols>
  <sheetData>
    <row r="1" ht="12.75">
      <c r="A1" s="2" t="s">
        <v>0</v>
      </c>
    </row>
    <row r="2" ht="12.75">
      <c r="A2" s="3">
        <f>HYPERLINK("mailto:report.zakupki@prom.ua","report.zakupki@prom.ua")</f>
      </c>
    </row>
    <row r="3" ht="12.75"/>
    <row r="4" spans="1:25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</row>
    <row r="5" spans="1:25" ht="12.75">
      <c r="A5" s="5">
        <v>1</v>
      </c>
      <c r="B5" s="2" t="s">
        <v>26</v>
      </c>
      <c r="C5" s="6" t="s">
        <v>27</v>
      </c>
      <c r="D5" s="2" t="s">
        <v>28</v>
      </c>
      <c r="E5" s="2" t="s">
        <v>29</v>
      </c>
      <c r="F5" s="7">
        <v>42690</v>
      </c>
      <c r="G5" s="2"/>
      <c r="H5" s="7">
        <v>42698</v>
      </c>
      <c r="I5" s="8">
        <v>0</v>
      </c>
      <c r="J5" s="9">
        <v>27</v>
      </c>
      <c r="K5" s="9">
        <v>15566</v>
      </c>
      <c r="L5" s="9">
        <v>576.5185185185185</v>
      </c>
      <c r="M5" s="5">
        <v>0</v>
      </c>
      <c r="N5" s="2"/>
      <c r="O5" s="10"/>
      <c r="P5" s="2"/>
      <c r="Q5" s="2"/>
      <c r="R5" s="2"/>
      <c r="S5" s="2"/>
      <c r="T5" s="11">
        <f>HYPERLINK("https://my.zakupki.prom.ua/cabinet/purchases/state_purchase/view/930146")</f>
      </c>
      <c r="U5" s="2" t="s">
        <v>30</v>
      </c>
      <c r="V5" s="2"/>
      <c r="W5" s="2"/>
      <c r="X5" s="2"/>
      <c r="Y5" s="2"/>
    </row>
    <row r="6" spans="1:25" ht="12.75">
      <c r="A6" s="5">
        <v>2</v>
      </c>
      <c r="B6" s="2" t="s">
        <v>31</v>
      </c>
      <c r="C6" s="6" t="s">
        <v>32</v>
      </c>
      <c r="D6" s="2" t="s">
        <v>33</v>
      </c>
      <c r="E6" s="2" t="s">
        <v>34</v>
      </c>
      <c r="F6" s="7">
        <v>42692</v>
      </c>
      <c r="G6" s="2"/>
      <c r="H6" s="7">
        <v>42698</v>
      </c>
      <c r="I6" s="8">
        <v>1</v>
      </c>
      <c r="J6" s="9">
        <v>21</v>
      </c>
      <c r="K6" s="9">
        <v>27954.78</v>
      </c>
      <c r="L6" s="9">
        <v>1331.18</v>
      </c>
      <c r="M6" s="9">
        <v>27954.78</v>
      </c>
      <c r="N6" s="9">
        <v>1331.18</v>
      </c>
      <c r="O6" s="10" t="s">
        <v>35</v>
      </c>
      <c r="P6" s="9">
        <v>0</v>
      </c>
      <c r="Q6" s="12">
        <v>0</v>
      </c>
      <c r="R6" s="2" t="s">
        <v>35</v>
      </c>
      <c r="S6" s="2" t="s">
        <v>36</v>
      </c>
      <c r="T6" s="11">
        <f>HYPERLINK("https://my.zakupki.prom.ua/cabinet/purchases/state_purchase/view/955197")</f>
      </c>
      <c r="U6" s="2" t="s">
        <v>37</v>
      </c>
      <c r="V6" s="2" t="s">
        <v>38</v>
      </c>
      <c r="W6" s="9">
        <v>27954.78</v>
      </c>
      <c r="X6" s="2" t="s">
        <v>39</v>
      </c>
      <c r="Y6" s="2" t="s">
        <v>40</v>
      </c>
    </row>
    <row r="7" spans="1:25" ht="12.75">
      <c r="A7" s="5">
        <v>3</v>
      </c>
      <c r="B7" s="2" t="s">
        <v>41</v>
      </c>
      <c r="C7" s="6" t="s">
        <v>42</v>
      </c>
      <c r="D7" s="2" t="s">
        <v>43</v>
      </c>
      <c r="E7" s="2" t="s">
        <v>29</v>
      </c>
      <c r="F7" s="7">
        <v>42695</v>
      </c>
      <c r="G7" s="2"/>
      <c r="H7" s="7">
        <v>42704</v>
      </c>
      <c r="I7" s="8">
        <v>0</v>
      </c>
      <c r="J7" s="9">
        <v>4</v>
      </c>
      <c r="K7" s="9">
        <v>12960</v>
      </c>
      <c r="L7" s="9">
        <v>3240</v>
      </c>
      <c r="M7" s="5">
        <v>0</v>
      </c>
      <c r="N7" s="2"/>
      <c r="O7" s="10"/>
      <c r="P7" s="2"/>
      <c r="Q7" s="2"/>
      <c r="R7" s="2"/>
      <c r="S7" s="2"/>
      <c r="T7" s="11">
        <f>HYPERLINK("https://my.zakupki.prom.ua/cabinet/purchases/state_purchase/view/969227")</f>
      </c>
      <c r="U7" s="2" t="s">
        <v>30</v>
      </c>
      <c r="V7" s="2"/>
      <c r="W7" s="2"/>
      <c r="X7" s="2"/>
      <c r="Y7" s="2"/>
    </row>
    <row r="8" spans="1:25" ht="12.75">
      <c r="A8" s="5">
        <v>4</v>
      </c>
      <c r="B8" s="2" t="s">
        <v>44</v>
      </c>
      <c r="C8" s="6" t="s">
        <v>45</v>
      </c>
      <c r="D8" s="2" t="s">
        <v>28</v>
      </c>
      <c r="E8" s="2" t="s">
        <v>29</v>
      </c>
      <c r="F8" s="7">
        <v>42699</v>
      </c>
      <c r="G8" s="2"/>
      <c r="H8" s="7">
        <v>42711</v>
      </c>
      <c r="I8" s="8">
        <v>0</v>
      </c>
      <c r="J8" s="9">
        <v>23</v>
      </c>
      <c r="K8" s="9">
        <v>15566</v>
      </c>
      <c r="L8" s="9">
        <v>676.7826086956521</v>
      </c>
      <c r="M8" s="5">
        <v>0</v>
      </c>
      <c r="N8" s="2"/>
      <c r="O8" s="10"/>
      <c r="P8" s="2"/>
      <c r="Q8" s="2"/>
      <c r="R8" s="2"/>
      <c r="S8" s="2"/>
      <c r="T8" s="11">
        <f>HYPERLINK("https://my.zakupki.prom.ua/cabinet/purchases/state_purchase/view/1015351")</f>
      </c>
      <c r="U8" s="2" t="s">
        <v>30</v>
      </c>
      <c r="V8" s="2"/>
      <c r="W8" s="2"/>
      <c r="X8" s="2"/>
      <c r="Y8" s="2"/>
    </row>
    <row r="9" spans="1:25" ht="12.75">
      <c r="A9" s="5">
        <v>5</v>
      </c>
      <c r="B9" s="2" t="s">
        <v>46</v>
      </c>
      <c r="C9" s="6" t="s">
        <v>47</v>
      </c>
      <c r="D9" s="2" t="s">
        <v>43</v>
      </c>
      <c r="E9" s="2" t="s">
        <v>29</v>
      </c>
      <c r="F9" s="7">
        <v>42705</v>
      </c>
      <c r="G9" s="2"/>
      <c r="H9" s="7">
        <v>42716</v>
      </c>
      <c r="I9" s="8">
        <v>0</v>
      </c>
      <c r="J9" s="9">
        <v>3</v>
      </c>
      <c r="K9" s="9">
        <v>12960</v>
      </c>
      <c r="L9" s="9">
        <v>4320</v>
      </c>
      <c r="M9" s="5">
        <v>0</v>
      </c>
      <c r="N9" s="2"/>
      <c r="O9" s="10"/>
      <c r="P9" s="2"/>
      <c r="Q9" s="2"/>
      <c r="R9" s="2"/>
      <c r="S9" s="2"/>
      <c r="T9" s="11">
        <f>HYPERLINK("https://my.zakupki.prom.ua/cabinet/purchases/state_purchase/view/1065722")</f>
      </c>
      <c r="U9" s="2" t="s">
        <v>30</v>
      </c>
      <c r="V9" s="2"/>
      <c r="W9" s="2"/>
      <c r="X9" s="2"/>
      <c r="Y9" s="2"/>
    </row>
    <row r="10" spans="1:25" ht="12.75">
      <c r="A10" s="5">
        <v>6</v>
      </c>
      <c r="B10" s="2" t="s">
        <v>48</v>
      </c>
      <c r="C10" s="6" t="s">
        <v>32</v>
      </c>
      <c r="D10" s="2" t="s">
        <v>33</v>
      </c>
      <c r="E10" s="2" t="s">
        <v>34</v>
      </c>
      <c r="F10" s="7">
        <v>42718</v>
      </c>
      <c r="G10" s="2"/>
      <c r="H10" s="7">
        <v>42724</v>
      </c>
      <c r="I10" s="8">
        <v>1</v>
      </c>
      <c r="J10" s="9">
        <v>27</v>
      </c>
      <c r="K10" s="9">
        <v>43846.92</v>
      </c>
      <c r="L10" s="9">
        <v>1623.96</v>
      </c>
      <c r="M10" s="9">
        <v>43846.92</v>
      </c>
      <c r="N10" s="9">
        <v>1623.96</v>
      </c>
      <c r="O10" s="10" t="s">
        <v>35</v>
      </c>
      <c r="P10" s="9">
        <v>0</v>
      </c>
      <c r="Q10" s="12">
        <v>0</v>
      </c>
      <c r="R10" s="2" t="s">
        <v>35</v>
      </c>
      <c r="S10" s="2" t="s">
        <v>36</v>
      </c>
      <c r="T10" s="11">
        <f>HYPERLINK("https://my.zakupki.prom.ua/cabinet/purchases/state_purchase/view/1195170")</f>
      </c>
      <c r="U10" s="2" t="s">
        <v>37</v>
      </c>
      <c r="V10" s="2" t="s">
        <v>49</v>
      </c>
      <c r="W10" s="9">
        <v>43846.92</v>
      </c>
      <c r="X10" s="2" t="s">
        <v>39</v>
      </c>
      <c r="Y10" s="2" t="s">
        <v>40</v>
      </c>
    </row>
    <row r="11" spans="1:25" ht="12.75">
      <c r="A11" s="5">
        <v>7</v>
      </c>
      <c r="B11" s="2" t="s">
        <v>50</v>
      </c>
      <c r="C11" s="6" t="s">
        <v>51</v>
      </c>
      <c r="D11" s="2" t="s">
        <v>33</v>
      </c>
      <c r="E11" s="2" t="s">
        <v>34</v>
      </c>
      <c r="F11" s="7">
        <v>42738</v>
      </c>
      <c r="G11" s="2"/>
      <c r="H11" s="7">
        <v>42745</v>
      </c>
      <c r="I11" s="8">
        <v>1</v>
      </c>
      <c r="J11" s="9">
        <v>421</v>
      </c>
      <c r="K11" s="9">
        <v>683687.16</v>
      </c>
      <c r="L11" s="9">
        <v>1623.96</v>
      </c>
      <c r="M11" s="9">
        <v>683687.16</v>
      </c>
      <c r="N11" s="9">
        <v>1623.96</v>
      </c>
      <c r="O11" s="10" t="s">
        <v>35</v>
      </c>
      <c r="P11" s="9">
        <v>0</v>
      </c>
      <c r="Q11" s="12">
        <v>0</v>
      </c>
      <c r="R11" s="2" t="s">
        <v>35</v>
      </c>
      <c r="S11" s="2" t="s">
        <v>36</v>
      </c>
      <c r="T11" s="11">
        <f>HYPERLINK("https://my.zakupki.prom.ua/cabinet/purchases/state_purchase/view/1393524")</f>
      </c>
      <c r="U11" s="2" t="s">
        <v>37</v>
      </c>
      <c r="V11" s="2" t="s">
        <v>52</v>
      </c>
      <c r="W11" s="9">
        <v>683687.16</v>
      </c>
      <c r="X11" s="2" t="s">
        <v>39</v>
      </c>
      <c r="Y11" s="2" t="s">
        <v>40</v>
      </c>
    </row>
    <row r="12" spans="1:25" ht="12.75">
      <c r="A12" s="5">
        <v>8</v>
      </c>
      <c r="B12" s="2" t="s">
        <v>53</v>
      </c>
      <c r="C12" s="6" t="s">
        <v>54</v>
      </c>
      <c r="D12" s="2" t="s">
        <v>55</v>
      </c>
      <c r="E12" s="2" t="s">
        <v>56</v>
      </c>
      <c r="F12" s="7">
        <v>42746</v>
      </c>
      <c r="G12" s="2"/>
      <c r="H12" s="7">
        <v>42746</v>
      </c>
      <c r="I12" s="8">
        <v>1</v>
      </c>
      <c r="J12" s="9">
        <v>16724</v>
      </c>
      <c r="K12" s="9">
        <v>168434.36</v>
      </c>
      <c r="L12" s="9">
        <v>10.071415929203539</v>
      </c>
      <c r="M12" s="9">
        <v>168434.36</v>
      </c>
      <c r="N12" s="9">
        <v>10.071415929203539</v>
      </c>
      <c r="O12" s="10" t="s">
        <v>57</v>
      </c>
      <c r="P12" s="9">
        <v>0</v>
      </c>
      <c r="Q12" s="12">
        <v>0</v>
      </c>
      <c r="R12" s="2" t="s">
        <v>57</v>
      </c>
      <c r="S12" s="2" t="s">
        <v>58</v>
      </c>
      <c r="T12" s="11">
        <f>HYPERLINK("https://my.zakupki.prom.ua/cabinet/purchases/state_purchase/view/1443137")</f>
      </c>
      <c r="U12" s="2" t="s">
        <v>37</v>
      </c>
      <c r="V12" s="2" t="s">
        <v>59</v>
      </c>
      <c r="W12" s="9">
        <v>168434.36</v>
      </c>
      <c r="X12" s="2" t="s">
        <v>39</v>
      </c>
      <c r="Y12" s="2" t="s">
        <v>40</v>
      </c>
    </row>
    <row r="13" spans="1:25" ht="12.75">
      <c r="A13" s="5">
        <v>9</v>
      </c>
      <c r="B13" s="2" t="s">
        <v>60</v>
      </c>
      <c r="C13" s="6" t="s">
        <v>61</v>
      </c>
      <c r="D13" s="2" t="s">
        <v>62</v>
      </c>
      <c r="E13" s="2" t="s">
        <v>56</v>
      </c>
      <c r="F13" s="7">
        <v>42746</v>
      </c>
      <c r="G13" s="2"/>
      <c r="H13" s="7">
        <v>42746</v>
      </c>
      <c r="I13" s="8">
        <v>1</v>
      </c>
      <c r="J13" s="9">
        <v>637</v>
      </c>
      <c r="K13" s="9">
        <v>6341</v>
      </c>
      <c r="L13" s="9">
        <v>9.95447409733124</v>
      </c>
      <c r="M13" s="9">
        <v>6341</v>
      </c>
      <c r="N13" s="9">
        <v>9.95447409733124</v>
      </c>
      <c r="O13" s="10" t="s">
        <v>63</v>
      </c>
      <c r="P13" s="9">
        <v>0</v>
      </c>
      <c r="Q13" s="12">
        <v>0</v>
      </c>
      <c r="R13" s="2" t="s">
        <v>63</v>
      </c>
      <c r="S13" s="2" t="s">
        <v>64</v>
      </c>
      <c r="T13" s="11">
        <f>HYPERLINK("https://my.zakupki.prom.ua/cabinet/purchases/state_purchase/view/1454920")</f>
      </c>
      <c r="U13" s="2" t="s">
        <v>37</v>
      </c>
      <c r="V13" s="2" t="s">
        <v>65</v>
      </c>
      <c r="W13" s="9">
        <v>6341</v>
      </c>
      <c r="X13" s="2" t="s">
        <v>39</v>
      </c>
      <c r="Y13" s="2" t="s">
        <v>40</v>
      </c>
    </row>
    <row r="14" spans="1:25" ht="12.75">
      <c r="A14" s="5">
        <v>10</v>
      </c>
      <c r="B14" s="2" t="s">
        <v>66</v>
      </c>
      <c r="C14" s="6" t="s">
        <v>67</v>
      </c>
      <c r="D14" s="2" t="s">
        <v>68</v>
      </c>
      <c r="E14" s="2" t="s">
        <v>56</v>
      </c>
      <c r="F14" s="7">
        <v>42747</v>
      </c>
      <c r="G14" s="2"/>
      <c r="H14" s="7">
        <v>42747</v>
      </c>
      <c r="I14" s="8">
        <v>1</v>
      </c>
      <c r="J14" s="9">
        <v>637</v>
      </c>
      <c r="K14" s="9">
        <v>2696</v>
      </c>
      <c r="L14" s="9">
        <v>4.232339089481947</v>
      </c>
      <c r="M14" s="9">
        <v>2696</v>
      </c>
      <c r="N14" s="9">
        <v>4.232339089481947</v>
      </c>
      <c r="O14" s="10" t="s">
        <v>63</v>
      </c>
      <c r="P14" s="9">
        <v>0</v>
      </c>
      <c r="Q14" s="12">
        <v>0</v>
      </c>
      <c r="R14" s="2" t="s">
        <v>63</v>
      </c>
      <c r="S14" s="2" t="s">
        <v>64</v>
      </c>
      <c r="T14" s="11">
        <f>HYPERLINK("https://my.zakupki.prom.ua/cabinet/purchases/state_purchase/view/1475912")</f>
      </c>
      <c r="U14" s="2" t="s">
        <v>37</v>
      </c>
      <c r="V14" s="2" t="s">
        <v>69</v>
      </c>
      <c r="W14" s="9">
        <v>2696</v>
      </c>
      <c r="X14" s="2" t="s">
        <v>39</v>
      </c>
      <c r="Y14" s="2" t="s">
        <v>40</v>
      </c>
    </row>
    <row r="15" spans="1:25" ht="12.75">
      <c r="A15" s="5">
        <v>11</v>
      </c>
      <c r="B15" s="2" t="s">
        <v>70</v>
      </c>
      <c r="C15" s="6" t="s">
        <v>71</v>
      </c>
      <c r="D15" s="2" t="s">
        <v>72</v>
      </c>
      <c r="E15" s="2" t="s">
        <v>56</v>
      </c>
      <c r="F15" s="7">
        <v>42774</v>
      </c>
      <c r="G15" s="2"/>
      <c r="H15" s="7">
        <v>42774</v>
      </c>
      <c r="I15" s="8">
        <v>1</v>
      </c>
      <c r="J15" s="9">
        <v>1853</v>
      </c>
      <c r="K15" s="9">
        <v>4274.87</v>
      </c>
      <c r="L15" s="9">
        <v>2.3069994603345925</v>
      </c>
      <c r="M15" s="9">
        <v>4274.87</v>
      </c>
      <c r="N15" s="9">
        <v>2.3069994603345925</v>
      </c>
      <c r="O15" s="10" t="s">
        <v>73</v>
      </c>
      <c r="P15" s="9">
        <v>0</v>
      </c>
      <c r="Q15" s="12">
        <v>0</v>
      </c>
      <c r="R15" s="2" t="s">
        <v>73</v>
      </c>
      <c r="S15" s="2" t="s">
        <v>74</v>
      </c>
      <c r="T15" s="11">
        <f>HYPERLINK("https://my.zakupki.prom.ua/cabinet/purchases/state_purchase/view/2051951")</f>
      </c>
      <c r="U15" s="2" t="s">
        <v>37</v>
      </c>
      <c r="V15" s="2" t="s">
        <v>75</v>
      </c>
      <c r="W15" s="9">
        <v>4274.87</v>
      </c>
      <c r="X15" s="2" t="s">
        <v>39</v>
      </c>
      <c r="Y15" s="2" t="s">
        <v>40</v>
      </c>
    </row>
    <row r="16" spans="1:25" ht="12.75">
      <c r="A16" s="5">
        <v>12</v>
      </c>
      <c r="B16" s="2" t="s">
        <v>76</v>
      </c>
      <c r="C16" s="6" t="s">
        <v>77</v>
      </c>
      <c r="D16" s="2" t="s">
        <v>78</v>
      </c>
      <c r="E16" s="2" t="s">
        <v>56</v>
      </c>
      <c r="F16" s="7">
        <v>42787</v>
      </c>
      <c r="G16" s="2"/>
      <c r="H16" s="7">
        <v>42788</v>
      </c>
      <c r="I16" s="8">
        <v>1</v>
      </c>
      <c r="J16" s="9">
        <v>8125</v>
      </c>
      <c r="K16" s="9">
        <v>2437.75</v>
      </c>
      <c r="L16" s="9">
        <v>0.3000307692307692</v>
      </c>
      <c r="M16" s="9">
        <v>2437.75</v>
      </c>
      <c r="N16" s="9">
        <v>0.3000307692307692</v>
      </c>
      <c r="O16" s="10" t="s">
        <v>79</v>
      </c>
      <c r="P16" s="9">
        <v>0</v>
      </c>
      <c r="Q16" s="12">
        <v>0</v>
      </c>
      <c r="R16" s="2" t="s">
        <v>79</v>
      </c>
      <c r="S16" s="2" t="s">
        <v>64</v>
      </c>
      <c r="T16" s="11">
        <f>HYPERLINK("https://my.zakupki.prom.ua/cabinet/purchases/state_purchase/view/2228705")</f>
      </c>
      <c r="U16" s="2" t="s">
        <v>37</v>
      </c>
      <c r="V16" s="2" t="s">
        <v>80</v>
      </c>
      <c r="W16" s="9">
        <v>2437.75</v>
      </c>
      <c r="X16" s="2" t="s">
        <v>39</v>
      </c>
      <c r="Y16" s="2" t="s">
        <v>40</v>
      </c>
    </row>
    <row r="17" spans="1:25" ht="12.75">
      <c r="A17" s="5">
        <v>13</v>
      </c>
      <c r="B17" s="2" t="s">
        <v>81</v>
      </c>
      <c r="C17" s="6" t="s">
        <v>82</v>
      </c>
      <c r="D17" s="2" t="s">
        <v>83</v>
      </c>
      <c r="E17" s="2" t="s">
        <v>56</v>
      </c>
      <c r="F17" s="7">
        <v>42795</v>
      </c>
      <c r="G17" s="2"/>
      <c r="H17" s="7">
        <v>42800</v>
      </c>
      <c r="I17" s="8">
        <v>1</v>
      </c>
      <c r="J17" s="9">
        <v>33</v>
      </c>
      <c r="K17" s="9">
        <v>1724</v>
      </c>
      <c r="L17" s="9">
        <v>52.24242424242424</v>
      </c>
      <c r="M17" s="9">
        <v>1724.58</v>
      </c>
      <c r="N17" s="9">
        <v>52.26</v>
      </c>
      <c r="O17" s="10" t="s">
        <v>84</v>
      </c>
      <c r="P17" s="9">
        <v>-0.58</v>
      </c>
      <c r="Q17" s="12">
        <v>-0.03</v>
      </c>
      <c r="R17" s="2" t="s">
        <v>84</v>
      </c>
      <c r="S17" s="2" t="s">
        <v>85</v>
      </c>
      <c r="T17" s="11">
        <f>HYPERLINK("https://my.zakupki.prom.ua/cabinet/purchases/state_purchase/view/2356084")</f>
      </c>
      <c r="U17" s="2" t="s">
        <v>37</v>
      </c>
      <c r="V17" s="2" t="s">
        <v>86</v>
      </c>
      <c r="W17" s="9">
        <v>1724.58</v>
      </c>
      <c r="X17" s="2" t="s">
        <v>39</v>
      </c>
      <c r="Y17" s="2" t="s">
        <v>40</v>
      </c>
    </row>
    <row r="18" spans="1:25" ht="12.75">
      <c r="A18" s="5">
        <v>14</v>
      </c>
      <c r="B18" s="2" t="s">
        <v>87</v>
      </c>
      <c r="C18" s="6" t="s">
        <v>88</v>
      </c>
      <c r="D18" s="2" t="s">
        <v>89</v>
      </c>
      <c r="E18" s="2" t="s">
        <v>56</v>
      </c>
      <c r="F18" s="7">
        <v>42796</v>
      </c>
      <c r="G18" s="2"/>
      <c r="H18" s="7">
        <v>42800</v>
      </c>
      <c r="I18" s="8">
        <v>1</v>
      </c>
      <c r="J18" s="9">
        <v>1276</v>
      </c>
      <c r="K18" s="9">
        <v>1759.92</v>
      </c>
      <c r="L18" s="9">
        <v>1.3792476489028214</v>
      </c>
      <c r="M18" s="9">
        <v>1759.92</v>
      </c>
      <c r="N18" s="9">
        <v>1.3792476489028214</v>
      </c>
      <c r="O18" s="10" t="s">
        <v>90</v>
      </c>
      <c r="P18" s="9">
        <v>0</v>
      </c>
      <c r="Q18" s="12">
        <v>0</v>
      </c>
      <c r="R18" s="2" t="s">
        <v>90</v>
      </c>
      <c r="S18" s="2" t="s">
        <v>91</v>
      </c>
      <c r="T18" s="11">
        <f>HYPERLINK("https://my.zakupki.prom.ua/cabinet/purchases/state_purchase/view/2368692")</f>
      </c>
      <c r="U18" s="2" t="s">
        <v>37</v>
      </c>
      <c r="V18" s="2" t="s">
        <v>92</v>
      </c>
      <c r="W18" s="9">
        <v>1759.92</v>
      </c>
      <c r="X18" s="2" t="s">
        <v>39</v>
      </c>
      <c r="Y18" s="2" t="s">
        <v>40</v>
      </c>
    </row>
    <row r="19" spans="1:25" ht="12.75">
      <c r="A19" s="5">
        <v>15</v>
      </c>
      <c r="B19" s="2" t="s">
        <v>93</v>
      </c>
      <c r="C19" s="6" t="s">
        <v>94</v>
      </c>
      <c r="D19" s="2" t="s">
        <v>95</v>
      </c>
      <c r="E19" s="2" t="s">
        <v>56</v>
      </c>
      <c r="F19" s="7">
        <v>42817</v>
      </c>
      <c r="G19" s="2"/>
      <c r="H19" s="7">
        <v>42817</v>
      </c>
      <c r="I19" s="8">
        <v>1</v>
      </c>
      <c r="J19" s="9">
        <v>1</v>
      </c>
      <c r="K19" s="9">
        <v>4750.19</v>
      </c>
      <c r="L19" s="9">
        <v>4750.19</v>
      </c>
      <c r="M19" s="9">
        <v>4750.19</v>
      </c>
      <c r="N19" s="9">
        <v>4750.19</v>
      </c>
      <c r="O19" s="10" t="s">
        <v>96</v>
      </c>
      <c r="P19" s="9">
        <v>0</v>
      </c>
      <c r="Q19" s="12">
        <v>0</v>
      </c>
      <c r="R19" s="2" t="s">
        <v>96</v>
      </c>
      <c r="S19" s="2" t="s">
        <v>97</v>
      </c>
      <c r="T19" s="11">
        <f>HYPERLINK("https://my.zakupki.prom.ua/cabinet/purchases/state_purchase/view/2611141")</f>
      </c>
      <c r="U19" s="2" t="s">
        <v>37</v>
      </c>
      <c r="V19" s="2" t="s">
        <v>98</v>
      </c>
      <c r="W19" s="9">
        <v>4750.19</v>
      </c>
      <c r="X19" s="2" t="s">
        <v>39</v>
      </c>
      <c r="Y19" s="2" t="s">
        <v>40</v>
      </c>
    </row>
    <row r="20" spans="1:25" ht="12.75">
      <c r="A20" s="5">
        <v>16</v>
      </c>
      <c r="B20" s="2" t="s">
        <v>99</v>
      </c>
      <c r="C20" s="6" t="s">
        <v>100</v>
      </c>
      <c r="D20" s="2" t="s">
        <v>101</v>
      </c>
      <c r="E20" s="2" t="s">
        <v>56</v>
      </c>
      <c r="F20" s="7">
        <v>42823</v>
      </c>
      <c r="G20" s="2"/>
      <c r="H20" s="7">
        <v>42823</v>
      </c>
      <c r="I20" s="8">
        <v>1</v>
      </c>
      <c r="J20" s="9">
        <v>2</v>
      </c>
      <c r="K20" s="9">
        <v>363.6</v>
      </c>
      <c r="L20" s="9">
        <v>181.8</v>
      </c>
      <c r="M20" s="9">
        <v>363.6</v>
      </c>
      <c r="N20" s="9">
        <v>181.8</v>
      </c>
      <c r="O20" s="10" t="s">
        <v>102</v>
      </c>
      <c r="P20" s="9">
        <v>0</v>
      </c>
      <c r="Q20" s="12">
        <v>0</v>
      </c>
      <c r="R20" s="2" t="s">
        <v>102</v>
      </c>
      <c r="S20" s="2" t="s">
        <v>103</v>
      </c>
      <c r="T20" s="11">
        <f>HYPERLINK("https://my.zakupki.prom.ua/cabinet/purchases/state_purchase/view/2674358")</f>
      </c>
      <c r="U20" s="2" t="s">
        <v>37</v>
      </c>
      <c r="V20" s="2" t="s">
        <v>104</v>
      </c>
      <c r="W20" s="9">
        <v>363.6</v>
      </c>
      <c r="X20" s="2" t="s">
        <v>39</v>
      </c>
      <c r="Y20" s="2" t="s">
        <v>40</v>
      </c>
    </row>
    <row r="21" spans="1:25" ht="12.75">
      <c r="A21" s="5">
        <v>17</v>
      </c>
      <c r="B21" s="2" t="s">
        <v>105</v>
      </c>
      <c r="C21" s="6" t="s">
        <v>106</v>
      </c>
      <c r="D21" s="2" t="s">
        <v>107</v>
      </c>
      <c r="E21" s="2" t="s">
        <v>56</v>
      </c>
      <c r="F21" s="7">
        <v>42849</v>
      </c>
      <c r="G21" s="2"/>
      <c r="H21" s="7">
        <v>42849</v>
      </c>
      <c r="I21" s="8">
        <v>1</v>
      </c>
      <c r="J21" s="9">
        <v>43</v>
      </c>
      <c r="K21" s="9">
        <v>945</v>
      </c>
      <c r="L21" s="9">
        <v>21.976744186046513</v>
      </c>
      <c r="M21" s="9">
        <v>945</v>
      </c>
      <c r="N21" s="9">
        <v>21.976744186046513</v>
      </c>
      <c r="O21" s="10" t="s">
        <v>108</v>
      </c>
      <c r="P21" s="9">
        <v>0</v>
      </c>
      <c r="Q21" s="12">
        <v>0</v>
      </c>
      <c r="R21" s="2" t="s">
        <v>108</v>
      </c>
      <c r="S21" s="2" t="s">
        <v>109</v>
      </c>
      <c r="T21" s="11">
        <f>HYPERLINK("https://my.zakupki.prom.ua/cabinet/purchases/state_purchase/view/2897809")</f>
      </c>
      <c r="U21" s="2" t="s">
        <v>37</v>
      </c>
      <c r="V21" s="2" t="s">
        <v>59</v>
      </c>
      <c r="W21" s="9">
        <v>945</v>
      </c>
      <c r="X21" s="2" t="s">
        <v>39</v>
      </c>
      <c r="Y21" s="2" t="s">
        <v>40</v>
      </c>
    </row>
    <row r="22" spans="1:25" ht="12.75">
      <c r="A22" s="5">
        <v>18</v>
      </c>
      <c r="B22" s="2" t="s">
        <v>110</v>
      </c>
      <c r="C22" s="6" t="s">
        <v>111</v>
      </c>
      <c r="D22" s="2" t="s">
        <v>112</v>
      </c>
      <c r="E22" s="2" t="s">
        <v>56</v>
      </c>
      <c r="F22" s="7">
        <v>42849</v>
      </c>
      <c r="G22" s="2"/>
      <c r="H22" s="7">
        <v>42849</v>
      </c>
      <c r="I22" s="8">
        <v>1</v>
      </c>
      <c r="J22" s="9">
        <v>16</v>
      </c>
      <c r="K22" s="9">
        <v>587</v>
      </c>
      <c r="L22" s="9">
        <v>36.6875</v>
      </c>
      <c r="M22" s="9">
        <v>587</v>
      </c>
      <c r="N22" s="9">
        <v>36.6875</v>
      </c>
      <c r="O22" s="10" t="s">
        <v>113</v>
      </c>
      <c r="P22" s="9">
        <v>0</v>
      </c>
      <c r="Q22" s="12">
        <v>0</v>
      </c>
      <c r="R22" s="2" t="s">
        <v>113</v>
      </c>
      <c r="S22" s="2" t="s">
        <v>114</v>
      </c>
      <c r="T22" s="11">
        <f>HYPERLINK("https://my.zakupki.prom.ua/cabinet/purchases/state_purchase/view/2898144")</f>
      </c>
      <c r="U22" s="2" t="s">
        <v>37</v>
      </c>
      <c r="V22" s="2" t="s">
        <v>115</v>
      </c>
      <c r="W22" s="9">
        <v>587</v>
      </c>
      <c r="X22" s="2" t="s">
        <v>39</v>
      </c>
      <c r="Y22" s="2" t="s">
        <v>40</v>
      </c>
    </row>
    <row r="23" spans="1:25" ht="12.75">
      <c r="A23" s="5">
        <v>19</v>
      </c>
      <c r="B23" s="2" t="s">
        <v>116</v>
      </c>
      <c r="C23" s="6" t="s">
        <v>117</v>
      </c>
      <c r="D23" s="2" t="s">
        <v>118</v>
      </c>
      <c r="E23" s="2" t="s">
        <v>56</v>
      </c>
      <c r="F23" s="7">
        <v>42866</v>
      </c>
      <c r="G23" s="2"/>
      <c r="H23" s="7">
        <v>42868</v>
      </c>
      <c r="I23" s="8">
        <v>1</v>
      </c>
      <c r="J23" s="9">
        <v>1</v>
      </c>
      <c r="K23" s="9">
        <v>4146.69</v>
      </c>
      <c r="L23" s="9">
        <v>4146.69</v>
      </c>
      <c r="M23" s="9">
        <v>4146.69</v>
      </c>
      <c r="N23" s="9">
        <v>4146.69</v>
      </c>
      <c r="O23" s="10" t="s">
        <v>96</v>
      </c>
      <c r="P23" s="9">
        <v>0</v>
      </c>
      <c r="Q23" s="12">
        <v>0</v>
      </c>
      <c r="R23" s="2" t="s">
        <v>96</v>
      </c>
      <c r="S23" s="2" t="s">
        <v>97</v>
      </c>
      <c r="T23" s="11">
        <f>HYPERLINK("https://my.zakupki.prom.ua/cabinet/purchases/state_purchase/view/3010977")</f>
      </c>
      <c r="U23" s="2" t="s">
        <v>37</v>
      </c>
      <c r="V23" s="2" t="s">
        <v>119</v>
      </c>
      <c r="W23" s="9">
        <v>4146.69</v>
      </c>
      <c r="X23" s="2" t="s">
        <v>39</v>
      </c>
      <c r="Y23" s="2" t="s">
        <v>40</v>
      </c>
    </row>
    <row r="24" spans="1:25" ht="12.75">
      <c r="A24" s="5">
        <v>20</v>
      </c>
      <c r="B24" s="2" t="s">
        <v>120</v>
      </c>
      <c r="C24" s="6" t="s">
        <v>117</v>
      </c>
      <c r="D24" s="2" t="s">
        <v>118</v>
      </c>
      <c r="E24" s="2" t="s">
        <v>56</v>
      </c>
      <c r="F24" s="7">
        <v>42874</v>
      </c>
      <c r="G24" s="2"/>
      <c r="H24" s="7">
        <v>42874</v>
      </c>
      <c r="I24" s="8">
        <v>1</v>
      </c>
      <c r="J24" s="9">
        <v>1</v>
      </c>
      <c r="K24" s="9">
        <v>4146.69</v>
      </c>
      <c r="L24" s="9">
        <v>4146.69</v>
      </c>
      <c r="M24" s="9">
        <v>4146.69</v>
      </c>
      <c r="N24" s="9">
        <v>4146.69</v>
      </c>
      <c r="O24" s="10" t="s">
        <v>96</v>
      </c>
      <c r="P24" s="9">
        <v>0</v>
      </c>
      <c r="Q24" s="12">
        <v>0</v>
      </c>
      <c r="R24" s="2" t="s">
        <v>96</v>
      </c>
      <c r="S24" s="2" t="s">
        <v>97</v>
      </c>
      <c r="T24" s="11">
        <f>HYPERLINK("https://my.zakupki.prom.ua/cabinet/purchases/state_purchase/view/3108583")</f>
      </c>
      <c r="U24" s="2" t="s">
        <v>37</v>
      </c>
      <c r="V24" s="2" t="s">
        <v>121</v>
      </c>
      <c r="W24" s="9">
        <v>4146.69</v>
      </c>
      <c r="X24" s="2" t="s">
        <v>39</v>
      </c>
      <c r="Y24" s="2" t="s">
        <v>40</v>
      </c>
    </row>
    <row r="25" spans="1:25" ht="12.75">
      <c r="A25" s="5">
        <v>21</v>
      </c>
      <c r="B25" s="2" t="s">
        <v>122</v>
      </c>
      <c r="C25" s="6" t="s">
        <v>123</v>
      </c>
      <c r="D25" s="2" t="s">
        <v>124</v>
      </c>
      <c r="E25" s="2" t="s">
        <v>56</v>
      </c>
      <c r="F25" s="7">
        <v>42881</v>
      </c>
      <c r="G25" s="2"/>
      <c r="H25" s="7">
        <v>42881</v>
      </c>
      <c r="I25" s="8">
        <v>1</v>
      </c>
      <c r="J25" s="9">
        <v>20</v>
      </c>
      <c r="K25" s="9">
        <v>294.49</v>
      </c>
      <c r="L25" s="9">
        <v>14.7245</v>
      </c>
      <c r="M25" s="9">
        <v>294.49</v>
      </c>
      <c r="N25" s="9">
        <v>14.7245</v>
      </c>
      <c r="O25" s="10" t="s">
        <v>125</v>
      </c>
      <c r="P25" s="9">
        <v>0</v>
      </c>
      <c r="Q25" s="12">
        <v>0</v>
      </c>
      <c r="R25" s="2" t="s">
        <v>125</v>
      </c>
      <c r="S25" s="2" t="s">
        <v>126</v>
      </c>
      <c r="T25" s="11">
        <f>HYPERLINK("https://my.zakupki.prom.ua/cabinet/purchases/state_purchase/view/3161785")</f>
      </c>
      <c r="U25" s="2" t="s">
        <v>37</v>
      </c>
      <c r="V25" s="2" t="s">
        <v>59</v>
      </c>
      <c r="W25" s="9">
        <v>294.49</v>
      </c>
      <c r="X25" s="2" t="s">
        <v>39</v>
      </c>
      <c r="Y25" s="2" t="s">
        <v>40</v>
      </c>
    </row>
    <row r="26" spans="1:25" ht="12.75">
      <c r="A26" s="5">
        <v>22</v>
      </c>
      <c r="B26" s="2" t="s">
        <v>127</v>
      </c>
      <c r="C26" s="6" t="s">
        <v>128</v>
      </c>
      <c r="D26" s="2" t="s">
        <v>129</v>
      </c>
      <c r="E26" s="2" t="s">
        <v>56</v>
      </c>
      <c r="F26" s="7">
        <v>42892</v>
      </c>
      <c r="G26" s="2"/>
      <c r="H26" s="7">
        <v>42893</v>
      </c>
      <c r="I26" s="8">
        <v>1</v>
      </c>
      <c r="J26" s="9">
        <v>20</v>
      </c>
      <c r="K26" s="9">
        <v>294.49</v>
      </c>
      <c r="L26" s="9">
        <v>14.7245</v>
      </c>
      <c r="M26" s="9">
        <v>294.49</v>
      </c>
      <c r="N26" s="9">
        <v>14.7245</v>
      </c>
      <c r="O26" s="10" t="s">
        <v>125</v>
      </c>
      <c r="P26" s="9">
        <v>0</v>
      </c>
      <c r="Q26" s="12">
        <v>0</v>
      </c>
      <c r="R26" s="2" t="s">
        <v>125</v>
      </c>
      <c r="S26" s="2" t="s">
        <v>126</v>
      </c>
      <c r="T26" s="11">
        <f>HYPERLINK("https://my.zakupki.prom.ua/cabinet/purchases/state_purchase/view/3233891")</f>
      </c>
      <c r="U26" s="2" t="s">
        <v>37</v>
      </c>
      <c r="V26" s="2" t="s">
        <v>59</v>
      </c>
      <c r="W26" s="9">
        <v>294.49</v>
      </c>
      <c r="X26" s="2" t="s">
        <v>39</v>
      </c>
      <c r="Y26" s="2" t="s">
        <v>40</v>
      </c>
    </row>
    <row r="27" spans="1:25" ht="12.75">
      <c r="A27" s="5">
        <v>23</v>
      </c>
      <c r="B27" s="2" t="s">
        <v>130</v>
      </c>
      <c r="C27" s="6" t="s">
        <v>131</v>
      </c>
      <c r="D27" s="2" t="s">
        <v>132</v>
      </c>
      <c r="E27" s="2" t="s">
        <v>29</v>
      </c>
      <c r="F27" s="7">
        <v>42928</v>
      </c>
      <c r="G27" s="2"/>
      <c r="H27" s="7">
        <v>42935</v>
      </c>
      <c r="I27" s="8">
        <v>0</v>
      </c>
      <c r="J27" s="9">
        <v>8</v>
      </c>
      <c r="K27" s="9">
        <v>4000</v>
      </c>
      <c r="L27" s="9">
        <v>500</v>
      </c>
      <c r="M27" s="5">
        <v>0</v>
      </c>
      <c r="N27" s="2"/>
      <c r="O27" s="10"/>
      <c r="P27" s="2"/>
      <c r="Q27" s="2"/>
      <c r="R27" s="2"/>
      <c r="S27" s="2"/>
      <c r="T27" s="11">
        <f>HYPERLINK("https://my.zakupki.prom.ua/cabinet/purchases/state_purchase/view/3532268")</f>
      </c>
      <c r="U27" s="2" t="s">
        <v>30</v>
      </c>
      <c r="V27" s="2"/>
      <c r="W27" s="2"/>
      <c r="X27" s="2"/>
      <c r="Y27" s="2"/>
    </row>
    <row r="28" spans="1:25" ht="12.75">
      <c r="A28" s="5">
        <v>24</v>
      </c>
      <c r="B28" s="2" t="s">
        <v>133</v>
      </c>
      <c r="C28" s="6" t="s">
        <v>134</v>
      </c>
      <c r="D28" s="2" t="s">
        <v>135</v>
      </c>
      <c r="E28" s="2" t="s">
        <v>56</v>
      </c>
      <c r="F28" s="7">
        <v>42950</v>
      </c>
      <c r="G28" s="2"/>
      <c r="H28" s="7">
        <v>42951</v>
      </c>
      <c r="I28" s="8">
        <v>1</v>
      </c>
      <c r="J28" s="9">
        <v>2</v>
      </c>
      <c r="K28" s="9">
        <v>1320</v>
      </c>
      <c r="L28" s="9">
        <v>660</v>
      </c>
      <c r="M28" s="9">
        <v>1320</v>
      </c>
      <c r="N28" s="9">
        <v>660</v>
      </c>
      <c r="O28" s="10" t="s">
        <v>136</v>
      </c>
      <c r="P28" s="9">
        <v>0</v>
      </c>
      <c r="Q28" s="12">
        <v>0</v>
      </c>
      <c r="R28" s="2" t="s">
        <v>136</v>
      </c>
      <c r="S28" s="2" t="s">
        <v>137</v>
      </c>
      <c r="T28" s="11">
        <f>HYPERLINK("https://my.zakupki.prom.ua/cabinet/purchases/state_purchase/view/3703969")</f>
      </c>
      <c r="U28" s="2" t="s">
        <v>37</v>
      </c>
      <c r="V28" s="2" t="s">
        <v>138</v>
      </c>
      <c r="W28" s="9">
        <v>1320</v>
      </c>
      <c r="X28" s="2" t="s">
        <v>39</v>
      </c>
      <c r="Y28" s="2" t="s">
        <v>40</v>
      </c>
    </row>
    <row r="29" spans="1:25" ht="12.75">
      <c r="A29" s="5">
        <v>25</v>
      </c>
      <c r="B29" s="2" t="s">
        <v>139</v>
      </c>
      <c r="C29" s="6" t="s">
        <v>140</v>
      </c>
      <c r="D29" s="2" t="s">
        <v>78</v>
      </c>
      <c r="E29" s="2" t="s">
        <v>56</v>
      </c>
      <c r="F29" s="7">
        <v>42982</v>
      </c>
      <c r="G29" s="2"/>
      <c r="H29" s="7">
        <v>42984</v>
      </c>
      <c r="I29" s="8">
        <v>1</v>
      </c>
      <c r="J29" s="9">
        <v>189</v>
      </c>
      <c r="K29" s="9">
        <v>3591</v>
      </c>
      <c r="L29" s="9">
        <v>19</v>
      </c>
      <c r="M29" s="9">
        <v>3591</v>
      </c>
      <c r="N29" s="9">
        <v>19</v>
      </c>
      <c r="O29" s="10" t="s">
        <v>141</v>
      </c>
      <c r="P29" s="9">
        <v>0</v>
      </c>
      <c r="Q29" s="12">
        <v>0</v>
      </c>
      <c r="R29" s="2" t="s">
        <v>141</v>
      </c>
      <c r="S29" s="2" t="s">
        <v>64</v>
      </c>
      <c r="T29" s="11">
        <f>HYPERLINK("https://my.zakupki.prom.ua/cabinet/purchases/state_purchase/view/3930120")</f>
      </c>
      <c r="U29" s="2" t="s">
        <v>37</v>
      </c>
      <c r="V29" s="2" t="s">
        <v>142</v>
      </c>
      <c r="W29" s="9">
        <v>3591</v>
      </c>
      <c r="X29" s="2" t="s">
        <v>39</v>
      </c>
      <c r="Y29" s="2" t="s">
        <v>40</v>
      </c>
    </row>
    <row r="30" spans="1:25" ht="12.75">
      <c r="A30" s="5">
        <v>26</v>
      </c>
      <c r="B30" s="2" t="s">
        <v>143</v>
      </c>
      <c r="C30" s="6" t="s">
        <v>144</v>
      </c>
      <c r="D30" s="2" t="s">
        <v>145</v>
      </c>
      <c r="E30" s="2" t="s">
        <v>56</v>
      </c>
      <c r="F30" s="7">
        <v>43027</v>
      </c>
      <c r="G30" s="2"/>
      <c r="H30" s="7">
        <v>43033</v>
      </c>
      <c r="I30" s="8">
        <v>1</v>
      </c>
      <c r="J30" s="9">
        <v>1</v>
      </c>
      <c r="K30" s="9">
        <v>6353</v>
      </c>
      <c r="L30" s="9">
        <v>6353</v>
      </c>
      <c r="M30" s="9">
        <v>6353</v>
      </c>
      <c r="N30" s="9">
        <v>6353</v>
      </c>
      <c r="O30" s="10" t="s">
        <v>146</v>
      </c>
      <c r="P30" s="9">
        <v>0</v>
      </c>
      <c r="Q30" s="12">
        <v>0</v>
      </c>
      <c r="R30" s="2" t="s">
        <v>146</v>
      </c>
      <c r="S30" s="2" t="s">
        <v>147</v>
      </c>
      <c r="T30" s="11">
        <f>HYPERLINK("https://my.zakupki.prom.ua/cabinet/purchases/state_purchase/view/4335705")</f>
      </c>
      <c r="U30" s="2" t="s">
        <v>37</v>
      </c>
      <c r="V30" s="2" t="s">
        <v>59</v>
      </c>
      <c r="W30" s="9">
        <v>6353</v>
      </c>
      <c r="X30" s="2" t="s">
        <v>39</v>
      </c>
      <c r="Y30" s="2" t="s">
        <v>40</v>
      </c>
    </row>
    <row r="31" spans="1:25" ht="12.75">
      <c r="A31" s="5">
        <v>27</v>
      </c>
      <c r="B31" s="2" t="s">
        <v>148</v>
      </c>
      <c r="C31" s="6" t="s">
        <v>54</v>
      </c>
      <c r="D31" s="2" t="s">
        <v>55</v>
      </c>
      <c r="E31" s="2" t="s">
        <v>56</v>
      </c>
      <c r="F31" s="7">
        <v>43046</v>
      </c>
      <c r="G31" s="2"/>
      <c r="H31" s="7">
        <v>43053</v>
      </c>
      <c r="I31" s="8">
        <v>1</v>
      </c>
      <c r="J31" s="9">
        <v>1569</v>
      </c>
      <c r="K31" s="9">
        <v>15489.73</v>
      </c>
      <c r="L31" s="9">
        <v>9.872358189929892</v>
      </c>
      <c r="M31" s="9">
        <v>15489.73</v>
      </c>
      <c r="N31" s="9">
        <v>9.872358189929892</v>
      </c>
      <c r="O31" s="10" t="s">
        <v>149</v>
      </c>
      <c r="P31" s="9">
        <v>0</v>
      </c>
      <c r="Q31" s="12">
        <v>0</v>
      </c>
      <c r="R31" s="2" t="s">
        <v>149</v>
      </c>
      <c r="S31" s="2" t="s">
        <v>150</v>
      </c>
      <c r="T31" s="11">
        <f>HYPERLINK("https://my.zakupki.prom.ua/cabinet/purchases/state_purchase/view/4520375")</f>
      </c>
      <c r="U31" s="2" t="s">
        <v>37</v>
      </c>
      <c r="V31" s="2" t="s">
        <v>151</v>
      </c>
      <c r="W31" s="9">
        <v>15489.73</v>
      </c>
      <c r="X31" s="2" t="s">
        <v>39</v>
      </c>
      <c r="Y31" s="2" t="s">
        <v>40</v>
      </c>
    </row>
    <row r="32" spans="1:25" ht="12.75">
      <c r="A32" s="5">
        <v>28</v>
      </c>
      <c r="B32" s="2" t="s">
        <v>152</v>
      </c>
      <c r="C32" s="6" t="s">
        <v>153</v>
      </c>
      <c r="D32" s="2" t="s">
        <v>154</v>
      </c>
      <c r="E32" s="2" t="s">
        <v>29</v>
      </c>
      <c r="F32" s="7">
        <v>43047</v>
      </c>
      <c r="G32" s="2"/>
      <c r="H32" s="7">
        <v>43055</v>
      </c>
      <c r="I32" s="8">
        <v>0</v>
      </c>
      <c r="J32" s="9">
        <v>3</v>
      </c>
      <c r="K32" s="9">
        <v>10000</v>
      </c>
      <c r="L32" s="9">
        <v>3333.3333333333335</v>
      </c>
      <c r="M32" s="5">
        <v>0</v>
      </c>
      <c r="N32" s="2"/>
      <c r="O32" s="10"/>
      <c r="P32" s="2"/>
      <c r="Q32" s="2"/>
      <c r="R32" s="2"/>
      <c r="S32" s="2"/>
      <c r="T32" s="11">
        <f>HYPERLINK("https://my.zakupki.prom.ua/cabinet/purchases/state_purchase/view/4536101")</f>
      </c>
      <c r="U32" s="2" t="s">
        <v>30</v>
      </c>
      <c r="V32" s="2"/>
      <c r="W32" s="2"/>
      <c r="X32" s="2"/>
      <c r="Y32" s="2"/>
    </row>
    <row r="33" spans="1:25" ht="12.75">
      <c r="A33" s="5">
        <v>29</v>
      </c>
      <c r="B33" s="2" t="s">
        <v>155</v>
      </c>
      <c r="C33" s="6" t="s">
        <v>156</v>
      </c>
      <c r="D33" s="2" t="s">
        <v>154</v>
      </c>
      <c r="E33" s="2" t="s">
        <v>29</v>
      </c>
      <c r="F33" s="7">
        <v>43055</v>
      </c>
      <c r="G33" s="2"/>
      <c r="H33" s="7">
        <v>43063</v>
      </c>
      <c r="I33" s="8">
        <v>0</v>
      </c>
      <c r="J33" s="9">
        <v>2</v>
      </c>
      <c r="K33" s="9">
        <v>10000</v>
      </c>
      <c r="L33" s="9">
        <v>5000</v>
      </c>
      <c r="M33" s="5">
        <v>0</v>
      </c>
      <c r="N33" s="2"/>
      <c r="O33" s="10"/>
      <c r="P33" s="2"/>
      <c r="Q33" s="2"/>
      <c r="R33" s="2"/>
      <c r="S33" s="2"/>
      <c r="T33" s="11">
        <f>HYPERLINK("https://my.zakupki.prom.ua/cabinet/purchases/state_purchase/view/4635259")</f>
      </c>
      <c r="U33" s="2" t="s">
        <v>30</v>
      </c>
      <c r="V33" s="2"/>
      <c r="W33" s="2"/>
      <c r="X33" s="2"/>
      <c r="Y33" s="2"/>
    </row>
    <row r="34" spans="1:25" ht="12.75">
      <c r="A34" s="5">
        <v>30</v>
      </c>
      <c r="B34" s="2" t="s">
        <v>157</v>
      </c>
      <c r="C34" s="6" t="s">
        <v>158</v>
      </c>
      <c r="D34" s="2" t="s">
        <v>159</v>
      </c>
      <c r="E34" s="2" t="s">
        <v>160</v>
      </c>
      <c r="F34" s="7">
        <v>43067</v>
      </c>
      <c r="G34" s="2"/>
      <c r="H34" s="7">
        <v>43082</v>
      </c>
      <c r="I34" s="8">
        <v>1</v>
      </c>
      <c r="J34" s="9">
        <v>21686</v>
      </c>
      <c r="K34" s="9">
        <v>221115.58</v>
      </c>
      <c r="L34" s="9">
        <v>10.196236281471917</v>
      </c>
      <c r="M34" s="5">
        <v>0</v>
      </c>
      <c r="N34" s="2"/>
      <c r="O34" s="10"/>
      <c r="P34" s="2"/>
      <c r="Q34" s="2"/>
      <c r="R34" s="2"/>
      <c r="S34" s="2"/>
      <c r="T34" s="11">
        <f>HYPERLINK("https://my.zakupki.prom.ua/cabinet/purchases/state_purchase/view/4777178")</f>
      </c>
      <c r="U34" s="2" t="s">
        <v>30</v>
      </c>
      <c r="V34" s="2"/>
      <c r="W34" s="2"/>
      <c r="X34" s="2"/>
      <c r="Y34" s="2"/>
    </row>
    <row r="35" spans="1:25" ht="12.75">
      <c r="A35" s="5">
        <v>31</v>
      </c>
      <c r="B35" s="2" t="s">
        <v>161</v>
      </c>
      <c r="C35" s="6" t="s">
        <v>162</v>
      </c>
      <c r="D35" s="2" t="s">
        <v>163</v>
      </c>
      <c r="E35" s="2" t="s">
        <v>56</v>
      </c>
      <c r="F35" s="7">
        <v>43069</v>
      </c>
      <c r="G35" s="2"/>
      <c r="H35" s="7">
        <v>43070</v>
      </c>
      <c r="I35" s="8">
        <v>1</v>
      </c>
      <c r="J35" s="9">
        <v>1</v>
      </c>
      <c r="K35" s="9">
        <v>1150</v>
      </c>
      <c r="L35" s="9">
        <v>1150</v>
      </c>
      <c r="M35" s="9">
        <v>1150</v>
      </c>
      <c r="N35" s="9">
        <v>1150</v>
      </c>
      <c r="O35" s="10" t="s">
        <v>164</v>
      </c>
      <c r="P35" s="9">
        <v>0</v>
      </c>
      <c r="Q35" s="12">
        <v>0</v>
      </c>
      <c r="R35" s="2" t="s">
        <v>164</v>
      </c>
      <c r="S35" s="2" t="s">
        <v>165</v>
      </c>
      <c r="T35" s="11">
        <f>HYPERLINK("https://my.zakupki.prom.ua/cabinet/purchases/state_purchase/view/4800625")</f>
      </c>
      <c r="U35" s="2" t="s">
        <v>37</v>
      </c>
      <c r="V35" s="2" t="s">
        <v>166</v>
      </c>
      <c r="W35" s="9">
        <v>1150</v>
      </c>
      <c r="X35" s="2" t="s">
        <v>39</v>
      </c>
      <c r="Y35" s="2" t="s">
        <v>40</v>
      </c>
    </row>
    <row r="36" spans="1:25" ht="12.75">
      <c r="A36" s="5">
        <v>32</v>
      </c>
      <c r="B36" s="2" t="s">
        <v>167</v>
      </c>
      <c r="C36" s="6" t="s">
        <v>156</v>
      </c>
      <c r="D36" s="2" t="s">
        <v>154</v>
      </c>
      <c r="E36" s="2" t="s">
        <v>56</v>
      </c>
      <c r="F36" s="7">
        <v>43084</v>
      </c>
      <c r="G36" s="2"/>
      <c r="H36" s="7">
        <v>43088</v>
      </c>
      <c r="I36" s="8">
        <v>1</v>
      </c>
      <c r="J36" s="9">
        <v>2</v>
      </c>
      <c r="K36" s="9">
        <v>10000</v>
      </c>
      <c r="L36" s="9">
        <v>5000</v>
      </c>
      <c r="M36" s="9">
        <v>10000</v>
      </c>
      <c r="N36" s="9">
        <v>5000</v>
      </c>
      <c r="O36" s="10" t="s">
        <v>168</v>
      </c>
      <c r="P36" s="9">
        <v>0</v>
      </c>
      <c r="Q36" s="12">
        <v>0</v>
      </c>
      <c r="R36" s="2" t="s">
        <v>168</v>
      </c>
      <c r="S36" s="2" t="s">
        <v>169</v>
      </c>
      <c r="T36" s="11">
        <f>HYPERLINK("https://my.zakupki.prom.ua/cabinet/purchases/state_purchase/view/5030367")</f>
      </c>
      <c r="U36" s="2" t="s">
        <v>37</v>
      </c>
      <c r="V36" s="2" t="s">
        <v>170</v>
      </c>
      <c r="W36" s="9">
        <v>10000</v>
      </c>
      <c r="X36" s="2" t="s">
        <v>39</v>
      </c>
      <c r="Y36" s="2" t="s">
        <v>40</v>
      </c>
    </row>
    <row r="37" spans="1:25" ht="12.75">
      <c r="A37" s="5">
        <v>33</v>
      </c>
      <c r="B37" s="2" t="s">
        <v>171</v>
      </c>
      <c r="C37" s="6" t="s">
        <v>172</v>
      </c>
      <c r="D37" s="2" t="s">
        <v>55</v>
      </c>
      <c r="E37" s="2" t="s">
        <v>56</v>
      </c>
      <c r="F37" s="7">
        <v>43090</v>
      </c>
      <c r="G37" s="2"/>
      <c r="H37" s="7">
        <v>43090</v>
      </c>
      <c r="I37" s="8">
        <v>1</v>
      </c>
      <c r="J37" s="9">
        <v>1035</v>
      </c>
      <c r="K37" s="9">
        <v>9994.38</v>
      </c>
      <c r="L37" s="9">
        <v>9.65640579710145</v>
      </c>
      <c r="M37" s="9">
        <v>9994.38</v>
      </c>
      <c r="N37" s="9">
        <v>9.65640579710145</v>
      </c>
      <c r="O37" s="10" t="s">
        <v>173</v>
      </c>
      <c r="P37" s="9">
        <v>0</v>
      </c>
      <c r="Q37" s="12">
        <v>0</v>
      </c>
      <c r="R37" s="2" t="s">
        <v>173</v>
      </c>
      <c r="S37" s="2" t="s">
        <v>150</v>
      </c>
      <c r="T37" s="11">
        <f>HYPERLINK("https://my.zakupki.prom.ua/cabinet/purchases/state_purchase/view/5141804")</f>
      </c>
      <c r="U37" s="2" t="s">
        <v>37</v>
      </c>
      <c r="V37" s="2" t="s">
        <v>174</v>
      </c>
      <c r="W37" s="9">
        <v>9994.38</v>
      </c>
      <c r="X37" s="2" t="s">
        <v>39</v>
      </c>
      <c r="Y37" s="2" t="s">
        <v>40</v>
      </c>
    </row>
    <row r="38" spans="1:25" ht="12.75">
      <c r="A38" s="5">
        <v>34</v>
      </c>
      <c r="B38" s="2" t="s">
        <v>175</v>
      </c>
      <c r="C38" s="6" t="s">
        <v>176</v>
      </c>
      <c r="D38" s="2" t="s">
        <v>177</v>
      </c>
      <c r="E38" s="2" t="s">
        <v>34</v>
      </c>
      <c r="F38" s="7">
        <v>43102</v>
      </c>
      <c r="G38" s="2"/>
      <c r="H38" s="7">
        <v>43109</v>
      </c>
      <c r="I38" s="8">
        <v>1</v>
      </c>
      <c r="J38" s="9">
        <v>413</v>
      </c>
      <c r="K38" s="9">
        <v>570848.69</v>
      </c>
      <c r="L38" s="9">
        <v>1382.2002179176754</v>
      </c>
      <c r="M38" s="9">
        <v>570848.69</v>
      </c>
      <c r="N38" s="9">
        <v>1382.2002179176754</v>
      </c>
      <c r="O38" s="10" t="s">
        <v>35</v>
      </c>
      <c r="P38" s="9">
        <v>0</v>
      </c>
      <c r="Q38" s="12">
        <v>0</v>
      </c>
      <c r="R38" s="2" t="s">
        <v>35</v>
      </c>
      <c r="S38" s="2" t="s">
        <v>36</v>
      </c>
      <c r="T38" s="11">
        <f>HYPERLINK("https://my.zakupki.prom.ua/cabinet/purchases/state_purchase/view/5279152")</f>
      </c>
      <c r="U38" s="2" t="s">
        <v>37</v>
      </c>
      <c r="V38" s="2" t="s">
        <v>52</v>
      </c>
      <c r="W38" s="9">
        <v>570848.69</v>
      </c>
      <c r="X38" s="2" t="s">
        <v>39</v>
      </c>
      <c r="Y38" s="2" t="s">
        <v>40</v>
      </c>
    </row>
    <row r="39" spans="1:25" ht="12.75">
      <c r="A39" s="5">
        <v>35</v>
      </c>
      <c r="B39" s="2" t="s">
        <v>178</v>
      </c>
      <c r="C39" s="6" t="s">
        <v>179</v>
      </c>
      <c r="D39" s="2" t="s">
        <v>78</v>
      </c>
      <c r="E39" s="2" t="s">
        <v>56</v>
      </c>
      <c r="F39" s="7">
        <v>43116</v>
      </c>
      <c r="G39" s="2"/>
      <c r="H39" s="7">
        <v>43129</v>
      </c>
      <c r="I39" s="8">
        <v>1</v>
      </c>
      <c r="J39" s="9">
        <v>188</v>
      </c>
      <c r="K39" s="9">
        <v>3572</v>
      </c>
      <c r="L39" s="9">
        <v>19</v>
      </c>
      <c r="M39" s="9">
        <v>3572</v>
      </c>
      <c r="N39" s="9">
        <v>19</v>
      </c>
      <c r="O39" s="10" t="s">
        <v>79</v>
      </c>
      <c r="P39" s="9">
        <v>0</v>
      </c>
      <c r="Q39" s="12">
        <v>0</v>
      </c>
      <c r="R39" s="2" t="s">
        <v>79</v>
      </c>
      <c r="S39" s="2" t="s">
        <v>64</v>
      </c>
      <c r="T39" s="11">
        <f>HYPERLINK("https://my.zakupki.prom.ua/cabinet/purchases/state_purchase/view/5439389")</f>
      </c>
      <c r="U39" s="2" t="s">
        <v>37</v>
      </c>
      <c r="V39" s="2" t="s">
        <v>180</v>
      </c>
      <c r="W39" s="9">
        <v>3572</v>
      </c>
      <c r="X39" s="2" t="s">
        <v>39</v>
      </c>
      <c r="Y39" s="2" t="s">
        <v>40</v>
      </c>
    </row>
    <row r="40" spans="1:25" ht="12.75">
      <c r="A40" s="5">
        <v>36</v>
      </c>
      <c r="B40" s="2" t="s">
        <v>181</v>
      </c>
      <c r="C40" s="6" t="s">
        <v>179</v>
      </c>
      <c r="D40" s="2" t="s">
        <v>78</v>
      </c>
      <c r="E40" s="2" t="s">
        <v>56</v>
      </c>
      <c r="F40" s="7">
        <v>43116</v>
      </c>
      <c r="G40" s="2"/>
      <c r="H40" s="7">
        <v>43129</v>
      </c>
      <c r="I40" s="8">
        <v>1</v>
      </c>
      <c r="J40" s="9">
        <v>5982</v>
      </c>
      <c r="K40" s="9">
        <v>2093.7</v>
      </c>
      <c r="L40" s="9">
        <v>0.35</v>
      </c>
      <c r="M40" s="9">
        <v>2093.7</v>
      </c>
      <c r="N40" s="9">
        <v>0.35</v>
      </c>
      <c r="O40" s="10" t="s">
        <v>79</v>
      </c>
      <c r="P40" s="9">
        <v>0</v>
      </c>
      <c r="Q40" s="12">
        <v>0</v>
      </c>
      <c r="R40" s="2" t="s">
        <v>79</v>
      </c>
      <c r="S40" s="2" t="s">
        <v>64</v>
      </c>
      <c r="T40" s="11">
        <f>HYPERLINK("https://my.zakupki.prom.ua/cabinet/purchases/state_purchase/view/5439707")</f>
      </c>
      <c r="U40" s="2" t="s">
        <v>37</v>
      </c>
      <c r="V40" s="2" t="s">
        <v>80</v>
      </c>
      <c r="W40" s="9">
        <v>2093.7</v>
      </c>
      <c r="X40" s="2" t="s">
        <v>39</v>
      </c>
      <c r="Y40" s="2" t="s">
        <v>40</v>
      </c>
    </row>
    <row r="41" spans="1:25" ht="12.75">
      <c r="A41" s="5">
        <v>37</v>
      </c>
      <c r="B41" s="2" t="s">
        <v>182</v>
      </c>
      <c r="C41" s="6" t="s">
        <v>183</v>
      </c>
      <c r="D41" s="2" t="s">
        <v>55</v>
      </c>
      <c r="E41" s="2" t="s">
        <v>56</v>
      </c>
      <c r="F41" s="7">
        <v>43116</v>
      </c>
      <c r="G41" s="2"/>
      <c r="H41" s="7">
        <v>43116</v>
      </c>
      <c r="I41" s="8">
        <v>1</v>
      </c>
      <c r="J41" s="9">
        <v>19366</v>
      </c>
      <c r="K41" s="9">
        <v>194741</v>
      </c>
      <c r="L41" s="9">
        <v>10.05581947743468</v>
      </c>
      <c r="M41" s="9">
        <v>194741</v>
      </c>
      <c r="N41" s="9">
        <v>10.05581947743468</v>
      </c>
      <c r="O41" s="10" t="s">
        <v>149</v>
      </c>
      <c r="P41" s="9">
        <v>0</v>
      </c>
      <c r="Q41" s="12">
        <v>0</v>
      </c>
      <c r="R41" s="2" t="s">
        <v>149</v>
      </c>
      <c r="S41" s="2" t="s">
        <v>150</v>
      </c>
      <c r="T41" s="11">
        <f>HYPERLINK("https://my.zakupki.prom.ua/cabinet/purchases/state_purchase/view/5454966")</f>
      </c>
      <c r="U41" s="2" t="s">
        <v>37</v>
      </c>
      <c r="V41" s="2" t="s">
        <v>151</v>
      </c>
      <c r="W41" s="9">
        <v>194741</v>
      </c>
      <c r="X41" s="2" t="s">
        <v>39</v>
      </c>
      <c r="Y41" s="2" t="s">
        <v>40</v>
      </c>
    </row>
    <row r="42" spans="1:25" ht="12.75">
      <c r="A42" s="5">
        <v>38</v>
      </c>
      <c r="B42" s="2" t="s">
        <v>184</v>
      </c>
      <c r="C42" s="6" t="s">
        <v>61</v>
      </c>
      <c r="D42" s="2" t="s">
        <v>62</v>
      </c>
      <c r="E42" s="2" t="s">
        <v>56</v>
      </c>
      <c r="F42" s="7">
        <v>43118</v>
      </c>
      <c r="G42" s="2"/>
      <c r="H42" s="7">
        <v>43118</v>
      </c>
      <c r="I42" s="8">
        <v>1</v>
      </c>
      <c r="J42" s="9">
        <v>630</v>
      </c>
      <c r="K42" s="9">
        <v>8762.03</v>
      </c>
      <c r="L42" s="9">
        <v>13.907984126984127</v>
      </c>
      <c r="M42" s="9">
        <v>8762.03</v>
      </c>
      <c r="N42" s="9">
        <v>13.907984126984127</v>
      </c>
      <c r="O42" s="10" t="s">
        <v>63</v>
      </c>
      <c r="P42" s="9">
        <v>0</v>
      </c>
      <c r="Q42" s="12">
        <v>0</v>
      </c>
      <c r="R42" s="2" t="s">
        <v>63</v>
      </c>
      <c r="S42" s="2" t="s">
        <v>64</v>
      </c>
      <c r="T42" s="11">
        <f>HYPERLINK("https://my.zakupki.prom.ua/cabinet/purchases/state_purchase/view/5508640")</f>
      </c>
      <c r="U42" s="2" t="s">
        <v>37</v>
      </c>
      <c r="V42" s="2" t="s">
        <v>65</v>
      </c>
      <c r="W42" s="9">
        <v>8762.03</v>
      </c>
      <c r="X42" s="2" t="s">
        <v>39</v>
      </c>
      <c r="Y42" s="2" t="s">
        <v>40</v>
      </c>
    </row>
    <row r="43" spans="1:25" ht="12.75">
      <c r="A43" s="5">
        <v>39</v>
      </c>
      <c r="B43" s="2" t="s">
        <v>185</v>
      </c>
      <c r="C43" s="6" t="s">
        <v>186</v>
      </c>
      <c r="D43" s="2" t="s">
        <v>187</v>
      </c>
      <c r="E43" s="2" t="s">
        <v>56</v>
      </c>
      <c r="F43" s="7">
        <v>43118</v>
      </c>
      <c r="G43" s="2"/>
      <c r="H43" s="7">
        <v>43118</v>
      </c>
      <c r="I43" s="8">
        <v>1</v>
      </c>
      <c r="J43" s="9">
        <v>630</v>
      </c>
      <c r="K43" s="9">
        <v>3137.4</v>
      </c>
      <c r="L43" s="9">
        <v>4.98</v>
      </c>
      <c r="M43" s="9">
        <v>3137.4</v>
      </c>
      <c r="N43" s="9">
        <v>4.98</v>
      </c>
      <c r="O43" s="10" t="s">
        <v>63</v>
      </c>
      <c r="P43" s="9">
        <v>0</v>
      </c>
      <c r="Q43" s="12">
        <v>0</v>
      </c>
      <c r="R43" s="2" t="s">
        <v>63</v>
      </c>
      <c r="S43" s="2" t="s">
        <v>64</v>
      </c>
      <c r="T43" s="11">
        <f>HYPERLINK("https://my.zakupki.prom.ua/cabinet/purchases/state_purchase/view/5508740")</f>
      </c>
      <c r="U43" s="2" t="s">
        <v>37</v>
      </c>
      <c r="V43" s="2" t="s">
        <v>69</v>
      </c>
      <c r="W43" s="9">
        <v>3137.4</v>
      </c>
      <c r="X43" s="2" t="s">
        <v>39</v>
      </c>
      <c r="Y43" s="2" t="s">
        <v>40</v>
      </c>
    </row>
    <row r="44" spans="1:25" ht="12.75">
      <c r="A44" s="5">
        <v>40</v>
      </c>
      <c r="B44" s="2" t="s">
        <v>188</v>
      </c>
      <c r="C44" s="6" t="s">
        <v>189</v>
      </c>
      <c r="D44" s="2" t="s">
        <v>118</v>
      </c>
      <c r="E44" s="2" t="s">
        <v>56</v>
      </c>
      <c r="F44" s="7">
        <v>43130</v>
      </c>
      <c r="G44" s="2"/>
      <c r="H44" s="7">
        <v>43151</v>
      </c>
      <c r="I44" s="8">
        <v>1</v>
      </c>
      <c r="J44" s="9">
        <v>1</v>
      </c>
      <c r="K44" s="9">
        <v>5916</v>
      </c>
      <c r="L44" s="9">
        <v>5916</v>
      </c>
      <c r="M44" s="9">
        <v>5916</v>
      </c>
      <c r="N44" s="9">
        <v>5916</v>
      </c>
      <c r="O44" s="10" t="s">
        <v>96</v>
      </c>
      <c r="P44" s="9">
        <v>0</v>
      </c>
      <c r="Q44" s="12">
        <v>0</v>
      </c>
      <c r="R44" s="2" t="s">
        <v>96</v>
      </c>
      <c r="S44" s="2" t="s">
        <v>97</v>
      </c>
      <c r="T44" s="11">
        <f>HYPERLINK("https://my.zakupki.prom.ua/cabinet/purchases/state_purchase/view/5856923")</f>
      </c>
      <c r="U44" s="2" t="s">
        <v>37</v>
      </c>
      <c r="V44" s="2" t="s">
        <v>190</v>
      </c>
      <c r="W44" s="9">
        <v>5916</v>
      </c>
      <c r="X44" s="2" t="s">
        <v>39</v>
      </c>
      <c r="Y44" s="2" t="s">
        <v>40</v>
      </c>
    </row>
    <row r="45" spans="1:25" ht="12.75">
      <c r="A45" s="5">
        <v>41</v>
      </c>
      <c r="B45" s="2" t="s">
        <v>191</v>
      </c>
      <c r="C45" s="6" t="s">
        <v>192</v>
      </c>
      <c r="D45" s="2" t="s">
        <v>193</v>
      </c>
      <c r="E45" s="2" t="s">
        <v>56</v>
      </c>
      <c r="F45" s="7">
        <v>43130</v>
      </c>
      <c r="G45" s="2"/>
      <c r="H45" s="7">
        <v>43175</v>
      </c>
      <c r="I45" s="8">
        <v>1</v>
      </c>
      <c r="J45" s="9">
        <v>1</v>
      </c>
      <c r="K45" s="9">
        <v>460</v>
      </c>
      <c r="L45" s="9">
        <v>460</v>
      </c>
      <c r="M45" s="9">
        <v>460</v>
      </c>
      <c r="N45" s="9">
        <v>460</v>
      </c>
      <c r="O45" s="10" t="s">
        <v>194</v>
      </c>
      <c r="P45" s="9">
        <v>0</v>
      </c>
      <c r="Q45" s="12">
        <v>0</v>
      </c>
      <c r="R45" s="2" t="s">
        <v>194</v>
      </c>
      <c r="S45" s="2" t="s">
        <v>195</v>
      </c>
      <c r="T45" s="11">
        <f>HYPERLINK("https://my.zakupki.prom.ua/cabinet/purchases/state_purchase/view/5858003")</f>
      </c>
      <c r="U45" s="2" t="s">
        <v>37</v>
      </c>
      <c r="V45" s="2" t="s">
        <v>196</v>
      </c>
      <c r="W45" s="9">
        <v>460</v>
      </c>
      <c r="X45" s="2" t="s">
        <v>39</v>
      </c>
      <c r="Y45" s="2" t="s">
        <v>40</v>
      </c>
    </row>
    <row r="46" spans="1:25" ht="12.75">
      <c r="A46" s="5">
        <v>42</v>
      </c>
      <c r="B46" s="2" t="s">
        <v>197</v>
      </c>
      <c r="C46" s="6" t="s">
        <v>198</v>
      </c>
      <c r="D46" s="2" t="s">
        <v>199</v>
      </c>
      <c r="E46" s="2" t="s">
        <v>29</v>
      </c>
      <c r="F46" s="7">
        <v>43137</v>
      </c>
      <c r="G46" s="2"/>
      <c r="H46" s="7">
        <v>43137</v>
      </c>
      <c r="I46" s="8">
        <v>0</v>
      </c>
      <c r="J46" s="9">
        <v>1</v>
      </c>
      <c r="K46" s="9">
        <v>5885</v>
      </c>
      <c r="L46" s="9">
        <v>5885</v>
      </c>
      <c r="M46" s="5">
        <v>0</v>
      </c>
      <c r="N46" s="2"/>
      <c r="O46" s="10"/>
      <c r="P46" s="2"/>
      <c r="Q46" s="2"/>
      <c r="R46" s="2"/>
      <c r="S46" s="2"/>
      <c r="T46" s="11">
        <f>HYPERLINK("https://my.zakupki.prom.ua/cabinet/purchases/state_purchase/view/6022248")</f>
      </c>
      <c r="U46" s="2" t="s">
        <v>200</v>
      </c>
      <c r="V46" s="2"/>
      <c r="W46" s="2"/>
      <c r="X46" s="2"/>
      <c r="Y46" s="2"/>
    </row>
    <row r="47" spans="1:25" ht="12.75">
      <c r="A47" s="5">
        <v>43</v>
      </c>
      <c r="B47" s="2" t="s">
        <v>201</v>
      </c>
      <c r="C47" s="6" t="s">
        <v>198</v>
      </c>
      <c r="D47" s="2" t="s">
        <v>199</v>
      </c>
      <c r="E47" s="2" t="s">
        <v>29</v>
      </c>
      <c r="F47" s="7">
        <v>43137</v>
      </c>
      <c r="G47" s="2"/>
      <c r="H47" s="7">
        <v>43147</v>
      </c>
      <c r="I47" s="8">
        <v>0</v>
      </c>
      <c r="J47" s="9">
        <v>1</v>
      </c>
      <c r="K47" s="9">
        <v>5885</v>
      </c>
      <c r="L47" s="9">
        <v>5885</v>
      </c>
      <c r="M47" s="5">
        <v>0</v>
      </c>
      <c r="N47" s="2"/>
      <c r="O47" s="10"/>
      <c r="P47" s="2"/>
      <c r="Q47" s="2"/>
      <c r="R47" s="2"/>
      <c r="S47" s="2"/>
      <c r="T47" s="11">
        <f>HYPERLINK("https://my.zakupki.prom.ua/cabinet/purchases/state_purchase/view/6022426")</f>
      </c>
      <c r="U47" s="2" t="s">
        <v>30</v>
      </c>
      <c r="V47" s="2"/>
      <c r="W47" s="2"/>
      <c r="X47" s="2"/>
      <c r="Y47" s="2"/>
    </row>
    <row r="48" spans="1:25" ht="12.75">
      <c r="A48" s="5">
        <v>44</v>
      </c>
      <c r="B48" s="2" t="s">
        <v>202</v>
      </c>
      <c r="C48" s="6" t="s">
        <v>203</v>
      </c>
      <c r="D48" s="2" t="s">
        <v>89</v>
      </c>
      <c r="E48" s="2" t="s">
        <v>56</v>
      </c>
      <c r="F48" s="7">
        <v>43138</v>
      </c>
      <c r="G48" s="2"/>
      <c r="H48" s="7">
        <v>43151</v>
      </c>
      <c r="I48" s="8">
        <v>1</v>
      </c>
      <c r="J48" s="9">
        <v>859</v>
      </c>
      <c r="K48" s="9">
        <v>1540.92</v>
      </c>
      <c r="L48" s="9">
        <v>1.7938533178114087</v>
      </c>
      <c r="M48" s="9">
        <v>1540.92</v>
      </c>
      <c r="N48" s="9">
        <v>1.7938533178114087</v>
      </c>
      <c r="O48" s="10" t="s">
        <v>204</v>
      </c>
      <c r="P48" s="9">
        <v>0</v>
      </c>
      <c r="Q48" s="12">
        <v>0</v>
      </c>
      <c r="R48" s="2" t="s">
        <v>204</v>
      </c>
      <c r="S48" s="2" t="s">
        <v>91</v>
      </c>
      <c r="T48" s="11">
        <f>HYPERLINK("https://my.zakupki.prom.ua/cabinet/purchases/state_purchase/view/6037915")</f>
      </c>
      <c r="U48" s="2" t="s">
        <v>37</v>
      </c>
      <c r="V48" s="2" t="s">
        <v>205</v>
      </c>
      <c r="W48" s="9">
        <v>1540.92</v>
      </c>
      <c r="X48" s="2" t="s">
        <v>39</v>
      </c>
      <c r="Y48" s="2" t="s">
        <v>40</v>
      </c>
    </row>
    <row r="49" spans="1:25" ht="12.75">
      <c r="A49" s="5">
        <v>45</v>
      </c>
      <c r="B49" s="2" t="s">
        <v>206</v>
      </c>
      <c r="C49" s="6" t="s">
        <v>71</v>
      </c>
      <c r="D49" s="2" t="s">
        <v>72</v>
      </c>
      <c r="E49" s="2" t="s">
        <v>56</v>
      </c>
      <c r="F49" s="7">
        <v>43140</v>
      </c>
      <c r="G49" s="2"/>
      <c r="H49" s="7">
        <v>43140</v>
      </c>
      <c r="I49" s="8">
        <v>1</v>
      </c>
      <c r="J49" s="9">
        <v>3275</v>
      </c>
      <c r="K49" s="9">
        <v>8403.21</v>
      </c>
      <c r="L49" s="9">
        <v>2.565865648854962</v>
      </c>
      <c r="M49" s="9">
        <v>8403.21</v>
      </c>
      <c r="N49" s="9">
        <v>2.565865648854962</v>
      </c>
      <c r="O49" s="10" t="s">
        <v>207</v>
      </c>
      <c r="P49" s="9">
        <v>0</v>
      </c>
      <c r="Q49" s="12">
        <v>0</v>
      </c>
      <c r="R49" s="2" t="s">
        <v>207</v>
      </c>
      <c r="S49" s="2" t="s">
        <v>74</v>
      </c>
      <c r="T49" s="11">
        <f>HYPERLINK("https://my.zakupki.prom.ua/cabinet/purchases/state_purchase/view/6100920")</f>
      </c>
      <c r="U49" s="2" t="s">
        <v>37</v>
      </c>
      <c r="V49" s="2" t="s">
        <v>75</v>
      </c>
      <c r="W49" s="9">
        <v>8403.21</v>
      </c>
      <c r="X49" s="2" t="s">
        <v>39</v>
      </c>
      <c r="Y49" s="2" t="s">
        <v>40</v>
      </c>
    </row>
    <row r="50" spans="1:25" ht="12.75">
      <c r="A50" s="5">
        <v>46</v>
      </c>
      <c r="B50" s="2" t="s">
        <v>208</v>
      </c>
      <c r="C50" s="6" t="s">
        <v>209</v>
      </c>
      <c r="D50" s="2" t="s">
        <v>210</v>
      </c>
      <c r="E50" s="2" t="s">
        <v>56</v>
      </c>
      <c r="F50" s="7">
        <v>43185</v>
      </c>
      <c r="G50" s="2"/>
      <c r="H50" s="7">
        <v>43192</v>
      </c>
      <c r="I50" s="8">
        <v>1</v>
      </c>
      <c r="J50" s="9">
        <v>13</v>
      </c>
      <c r="K50" s="9">
        <v>1135</v>
      </c>
      <c r="L50" s="9">
        <v>87.3076923076923</v>
      </c>
      <c r="M50" s="9">
        <v>1135</v>
      </c>
      <c r="N50" s="9">
        <v>87.3076923076923</v>
      </c>
      <c r="O50" s="10" t="s">
        <v>211</v>
      </c>
      <c r="P50" s="9">
        <v>0</v>
      </c>
      <c r="Q50" s="12">
        <v>0</v>
      </c>
      <c r="R50" s="2" t="s">
        <v>211</v>
      </c>
      <c r="S50" s="2" t="s">
        <v>212</v>
      </c>
      <c r="T50" s="11">
        <f>HYPERLINK("https://my.zakupki.prom.ua/cabinet/purchases/state_purchase/view/6633819")</f>
      </c>
      <c r="U50" s="2" t="s">
        <v>37</v>
      </c>
      <c r="V50" s="2" t="s">
        <v>59</v>
      </c>
      <c r="W50" s="9">
        <v>1135</v>
      </c>
      <c r="X50" s="2" t="s">
        <v>39</v>
      </c>
      <c r="Y50" s="2" t="s">
        <v>40</v>
      </c>
    </row>
    <row r="51" spans="1:25" ht="12.75">
      <c r="A51" s="5">
        <v>47</v>
      </c>
      <c r="B51" s="2" t="s">
        <v>213</v>
      </c>
      <c r="C51" s="6" t="s">
        <v>214</v>
      </c>
      <c r="D51" s="2" t="s">
        <v>199</v>
      </c>
      <c r="E51" s="2" t="s">
        <v>29</v>
      </c>
      <c r="F51" s="7">
        <v>43189</v>
      </c>
      <c r="G51" s="2"/>
      <c r="H51" s="7">
        <v>43203</v>
      </c>
      <c r="I51" s="8">
        <v>0</v>
      </c>
      <c r="J51" s="9">
        <v>1</v>
      </c>
      <c r="K51" s="9">
        <v>7885</v>
      </c>
      <c r="L51" s="9">
        <v>7885</v>
      </c>
      <c r="M51" s="5">
        <v>0</v>
      </c>
      <c r="N51" s="2"/>
      <c r="O51" s="10"/>
      <c r="P51" s="2"/>
      <c r="Q51" s="2"/>
      <c r="R51" s="2"/>
      <c r="S51" s="2"/>
      <c r="T51" s="11">
        <f>HYPERLINK("https://my.zakupki.prom.ua/cabinet/purchases/state_purchase/view/6692603")</f>
      </c>
      <c r="U51" s="2" t="s">
        <v>30</v>
      </c>
      <c r="V51" s="2"/>
      <c r="W51" s="2"/>
      <c r="X51" s="2"/>
      <c r="Y51" s="2"/>
    </row>
    <row r="52" spans="1:25" ht="12.75">
      <c r="A52" s="5">
        <v>48</v>
      </c>
      <c r="B52" s="2" t="s">
        <v>215</v>
      </c>
      <c r="C52" s="6" t="s">
        <v>216</v>
      </c>
      <c r="D52" s="2" t="s">
        <v>83</v>
      </c>
      <c r="E52" s="2" t="s">
        <v>56</v>
      </c>
      <c r="F52" s="7">
        <v>43194</v>
      </c>
      <c r="G52" s="2"/>
      <c r="H52" s="7">
        <v>43208</v>
      </c>
      <c r="I52" s="8">
        <v>1</v>
      </c>
      <c r="J52" s="9">
        <v>32</v>
      </c>
      <c r="K52" s="9">
        <v>1690.08</v>
      </c>
      <c r="L52" s="9">
        <v>52.815</v>
      </c>
      <c r="M52" s="9">
        <v>1690.08</v>
      </c>
      <c r="N52" s="9">
        <v>52.815</v>
      </c>
      <c r="O52" s="10" t="s">
        <v>217</v>
      </c>
      <c r="P52" s="9">
        <v>0</v>
      </c>
      <c r="Q52" s="12">
        <v>0</v>
      </c>
      <c r="R52" s="2" t="s">
        <v>217</v>
      </c>
      <c r="S52" s="2" t="s">
        <v>85</v>
      </c>
      <c r="T52" s="11">
        <f>HYPERLINK("https://my.zakupki.prom.ua/cabinet/purchases/state_purchase/view/6737877")</f>
      </c>
      <c r="U52" s="2" t="s">
        <v>37</v>
      </c>
      <c r="V52" s="2" t="s">
        <v>86</v>
      </c>
      <c r="W52" s="9">
        <v>1690.08</v>
      </c>
      <c r="X52" s="2" t="s">
        <v>39</v>
      </c>
      <c r="Y52" s="2" t="s">
        <v>40</v>
      </c>
    </row>
    <row r="53" spans="1:25" ht="12.75">
      <c r="A53" s="5">
        <v>49</v>
      </c>
      <c r="B53" s="2" t="s">
        <v>218</v>
      </c>
      <c r="C53" s="6" t="s">
        <v>219</v>
      </c>
      <c r="D53" s="2" t="s">
        <v>129</v>
      </c>
      <c r="E53" s="2" t="s">
        <v>56</v>
      </c>
      <c r="F53" s="7">
        <v>43206</v>
      </c>
      <c r="G53" s="2"/>
      <c r="H53" s="7">
        <v>43208</v>
      </c>
      <c r="I53" s="8">
        <v>1</v>
      </c>
      <c r="J53" s="9">
        <v>93</v>
      </c>
      <c r="K53" s="9">
        <v>578</v>
      </c>
      <c r="L53" s="9">
        <v>6.21505376344086</v>
      </c>
      <c r="M53" s="9">
        <v>578</v>
      </c>
      <c r="N53" s="9">
        <v>6.21505376344086</v>
      </c>
      <c r="O53" s="10" t="s">
        <v>220</v>
      </c>
      <c r="P53" s="9">
        <v>0</v>
      </c>
      <c r="Q53" s="12">
        <v>0</v>
      </c>
      <c r="R53" s="2" t="s">
        <v>220</v>
      </c>
      <c r="S53" s="2" t="s">
        <v>221</v>
      </c>
      <c r="T53" s="11">
        <f>HYPERLINK("https://my.zakupki.prom.ua/cabinet/purchases/state_purchase/view/6840266")</f>
      </c>
      <c r="U53" s="2" t="s">
        <v>37</v>
      </c>
      <c r="V53" s="2" t="s">
        <v>59</v>
      </c>
      <c r="W53" s="9">
        <v>578</v>
      </c>
      <c r="X53" s="2" t="s">
        <v>39</v>
      </c>
      <c r="Y53" s="2" t="s">
        <v>40</v>
      </c>
    </row>
    <row r="54" spans="1:25" ht="12.75">
      <c r="A54" s="5">
        <v>50</v>
      </c>
      <c r="B54" s="2" t="s">
        <v>222</v>
      </c>
      <c r="C54" s="6" t="s">
        <v>223</v>
      </c>
      <c r="D54" s="2" t="s">
        <v>224</v>
      </c>
      <c r="E54" s="2" t="s">
        <v>56</v>
      </c>
      <c r="F54" s="7">
        <v>43208</v>
      </c>
      <c r="G54" s="2"/>
      <c r="H54" s="7">
        <v>43210</v>
      </c>
      <c r="I54" s="8">
        <v>1</v>
      </c>
      <c r="J54" s="9">
        <v>1</v>
      </c>
      <c r="K54" s="9">
        <v>9196.3</v>
      </c>
      <c r="L54" s="9">
        <v>9196.3</v>
      </c>
      <c r="M54" s="9">
        <v>9196.3</v>
      </c>
      <c r="N54" s="9">
        <v>9196.3</v>
      </c>
      <c r="O54" s="10" t="s">
        <v>225</v>
      </c>
      <c r="P54" s="9">
        <v>0</v>
      </c>
      <c r="Q54" s="12">
        <v>0</v>
      </c>
      <c r="R54" s="2" t="s">
        <v>225</v>
      </c>
      <c r="S54" s="2" t="s">
        <v>226</v>
      </c>
      <c r="T54" s="11">
        <f>HYPERLINK("https://my.zakupki.prom.ua/cabinet/purchases/state_purchase/view/6861047")</f>
      </c>
      <c r="U54" s="2" t="s">
        <v>37</v>
      </c>
      <c r="V54" s="2" t="s">
        <v>227</v>
      </c>
      <c r="W54" s="9">
        <v>9196.3</v>
      </c>
      <c r="X54" s="2" t="s">
        <v>39</v>
      </c>
      <c r="Y54" s="2" t="s">
        <v>40</v>
      </c>
    </row>
    <row r="55" spans="1:25" ht="12.75">
      <c r="A55" s="5">
        <v>51</v>
      </c>
      <c r="B55" s="2" t="s">
        <v>228</v>
      </c>
      <c r="C55" s="6" t="s">
        <v>229</v>
      </c>
      <c r="D55" s="2" t="s">
        <v>230</v>
      </c>
      <c r="E55" s="2" t="s">
        <v>56</v>
      </c>
      <c r="F55" s="7">
        <v>43224</v>
      </c>
      <c r="G55" s="2"/>
      <c r="H55" s="7">
        <v>43231</v>
      </c>
      <c r="I55" s="8">
        <v>1</v>
      </c>
      <c r="J55" s="9">
        <v>5</v>
      </c>
      <c r="K55" s="9">
        <v>631</v>
      </c>
      <c r="L55" s="9">
        <v>126.2</v>
      </c>
      <c r="M55" s="9">
        <v>631</v>
      </c>
      <c r="N55" s="9">
        <v>126.2</v>
      </c>
      <c r="O55" s="10" t="s">
        <v>231</v>
      </c>
      <c r="P55" s="9">
        <v>0</v>
      </c>
      <c r="Q55" s="12">
        <v>0</v>
      </c>
      <c r="R55" s="2" t="s">
        <v>231</v>
      </c>
      <c r="S55" s="2" t="s">
        <v>232</v>
      </c>
      <c r="T55" s="11">
        <f>HYPERLINK("https://my.zakupki.prom.ua/cabinet/purchases/state_purchase/view/7023262")</f>
      </c>
      <c r="U55" s="2" t="s">
        <v>37</v>
      </c>
      <c r="V55" s="2" t="s">
        <v>59</v>
      </c>
      <c r="W55" s="9">
        <v>631</v>
      </c>
      <c r="X55" s="2" t="s">
        <v>39</v>
      </c>
      <c r="Y55" s="2" t="s">
        <v>40</v>
      </c>
    </row>
    <row r="56" spans="1:25" ht="12.75">
      <c r="A56" s="5">
        <v>52</v>
      </c>
      <c r="B56" s="2" t="s">
        <v>233</v>
      </c>
      <c r="C56" s="6" t="s">
        <v>234</v>
      </c>
      <c r="D56" s="2" t="s">
        <v>230</v>
      </c>
      <c r="E56" s="2" t="s">
        <v>56</v>
      </c>
      <c r="F56" s="7">
        <v>43224</v>
      </c>
      <c r="G56" s="2"/>
      <c r="H56" s="7">
        <v>43231</v>
      </c>
      <c r="I56" s="8">
        <v>1</v>
      </c>
      <c r="J56" s="9">
        <v>2</v>
      </c>
      <c r="K56" s="9">
        <v>824</v>
      </c>
      <c r="L56" s="9">
        <v>412</v>
      </c>
      <c r="M56" s="9">
        <v>824</v>
      </c>
      <c r="N56" s="9">
        <v>412</v>
      </c>
      <c r="O56" s="10" t="s">
        <v>231</v>
      </c>
      <c r="P56" s="9">
        <v>0</v>
      </c>
      <c r="Q56" s="12">
        <v>0</v>
      </c>
      <c r="R56" s="2" t="s">
        <v>231</v>
      </c>
      <c r="S56" s="2" t="s">
        <v>232</v>
      </c>
      <c r="T56" s="11">
        <f>HYPERLINK("https://my.zakupki.prom.ua/cabinet/purchases/state_purchase/view/7023596")</f>
      </c>
      <c r="U56" s="2" t="s">
        <v>37</v>
      </c>
      <c r="V56" s="2" t="s">
        <v>151</v>
      </c>
      <c r="W56" s="9">
        <v>824</v>
      </c>
      <c r="X56" s="2" t="s">
        <v>39</v>
      </c>
      <c r="Y56" s="2" t="s">
        <v>40</v>
      </c>
    </row>
    <row r="57" spans="1:25" ht="12.75">
      <c r="A57" s="5">
        <v>53</v>
      </c>
      <c r="B57" s="2" t="s">
        <v>235</v>
      </c>
      <c r="C57" s="6" t="s">
        <v>236</v>
      </c>
      <c r="D57" s="2" t="s">
        <v>101</v>
      </c>
      <c r="E57" s="2" t="s">
        <v>56</v>
      </c>
      <c r="F57" s="7">
        <v>43227</v>
      </c>
      <c r="G57" s="2"/>
      <c r="H57" s="7">
        <v>43231</v>
      </c>
      <c r="I57" s="8">
        <v>1</v>
      </c>
      <c r="J57" s="9">
        <v>4</v>
      </c>
      <c r="K57" s="9">
        <v>1162.72</v>
      </c>
      <c r="L57" s="9">
        <v>290.68</v>
      </c>
      <c r="M57" s="9">
        <v>1162.72</v>
      </c>
      <c r="N57" s="9">
        <v>290.68</v>
      </c>
      <c r="O57" s="10" t="s">
        <v>237</v>
      </c>
      <c r="P57" s="9">
        <v>0</v>
      </c>
      <c r="Q57" s="12">
        <v>0</v>
      </c>
      <c r="R57" s="2" t="s">
        <v>237</v>
      </c>
      <c r="S57" s="2" t="s">
        <v>238</v>
      </c>
      <c r="T57" s="11">
        <f>HYPERLINK("https://my.zakupki.prom.ua/cabinet/purchases/state_purchase/view/7046012")</f>
      </c>
      <c r="U57" s="2" t="s">
        <v>37</v>
      </c>
      <c r="V57" s="2" t="s">
        <v>239</v>
      </c>
      <c r="W57" s="9">
        <v>1162.72</v>
      </c>
      <c r="X57" s="2" t="s">
        <v>39</v>
      </c>
      <c r="Y57" s="2" t="s">
        <v>40</v>
      </c>
    </row>
    <row r="58" spans="1:25" ht="12.75">
      <c r="A58" s="5">
        <v>54</v>
      </c>
      <c r="B58" s="2" t="s">
        <v>240</v>
      </c>
      <c r="C58" s="6" t="s">
        <v>241</v>
      </c>
      <c r="D58" s="2" t="s">
        <v>107</v>
      </c>
      <c r="E58" s="2" t="s">
        <v>56</v>
      </c>
      <c r="F58" s="7">
        <v>43238</v>
      </c>
      <c r="G58" s="2"/>
      <c r="H58" s="7">
        <v>43250</v>
      </c>
      <c r="I58" s="8">
        <v>1</v>
      </c>
      <c r="J58" s="9">
        <v>106</v>
      </c>
      <c r="K58" s="9">
        <v>1507</v>
      </c>
      <c r="L58" s="9">
        <v>14.216981132075471</v>
      </c>
      <c r="M58" s="9">
        <v>1507</v>
      </c>
      <c r="N58" s="9">
        <v>14.216981132075471</v>
      </c>
      <c r="O58" s="10" t="s">
        <v>242</v>
      </c>
      <c r="P58" s="9">
        <v>0</v>
      </c>
      <c r="Q58" s="12">
        <v>0</v>
      </c>
      <c r="R58" s="2" t="s">
        <v>242</v>
      </c>
      <c r="S58" s="2" t="s">
        <v>109</v>
      </c>
      <c r="T58" s="11">
        <f>HYPERLINK("https://my.zakupki.prom.ua/cabinet/purchases/state_purchase/view/7171804")</f>
      </c>
      <c r="U58" s="2" t="s">
        <v>37</v>
      </c>
      <c r="V58" s="2" t="s">
        <v>59</v>
      </c>
      <c r="W58" s="9">
        <v>1507</v>
      </c>
      <c r="X58" s="2" t="s">
        <v>39</v>
      </c>
      <c r="Y58" s="2" t="s">
        <v>40</v>
      </c>
    </row>
    <row r="59" spans="1:25" ht="12.75">
      <c r="A59" s="5">
        <v>55</v>
      </c>
      <c r="B59" s="2" t="s">
        <v>243</v>
      </c>
      <c r="C59" s="6" t="s">
        <v>244</v>
      </c>
      <c r="D59" s="2" t="s">
        <v>159</v>
      </c>
      <c r="E59" s="2" t="s">
        <v>56</v>
      </c>
      <c r="F59" s="7">
        <v>43249</v>
      </c>
      <c r="G59" s="2"/>
      <c r="H59" s="7">
        <v>43249</v>
      </c>
      <c r="I59" s="8">
        <v>1</v>
      </c>
      <c r="J59" s="9">
        <v>9362</v>
      </c>
      <c r="K59" s="9">
        <v>98874.2</v>
      </c>
      <c r="L59" s="9">
        <v>10.561226233710746</v>
      </c>
      <c r="M59" s="9">
        <v>98874.2</v>
      </c>
      <c r="N59" s="9">
        <v>10.561226233710746</v>
      </c>
      <c r="O59" s="10" t="s">
        <v>245</v>
      </c>
      <c r="P59" s="9">
        <v>0</v>
      </c>
      <c r="Q59" s="12">
        <v>0</v>
      </c>
      <c r="R59" s="2" t="s">
        <v>245</v>
      </c>
      <c r="S59" s="2" t="s">
        <v>246</v>
      </c>
      <c r="T59" s="11">
        <f>HYPERLINK("https://my.zakupki.prom.ua/cabinet/purchases/state_purchase/view/7268263")</f>
      </c>
      <c r="U59" s="2" t="s">
        <v>37</v>
      </c>
      <c r="V59" s="2" t="s">
        <v>115</v>
      </c>
      <c r="W59" s="9">
        <v>98874.2</v>
      </c>
      <c r="X59" s="2" t="s">
        <v>39</v>
      </c>
      <c r="Y59" s="2" t="s">
        <v>40</v>
      </c>
    </row>
    <row r="60" spans="1:25" ht="12.75">
      <c r="A60" s="5">
        <v>56</v>
      </c>
      <c r="B60" s="2" t="s">
        <v>247</v>
      </c>
      <c r="C60" s="6" t="s">
        <v>248</v>
      </c>
      <c r="D60" s="2" t="s">
        <v>249</v>
      </c>
      <c r="E60" s="2" t="s">
        <v>56</v>
      </c>
      <c r="F60" s="7">
        <v>43356</v>
      </c>
      <c r="G60" s="2"/>
      <c r="H60" s="7">
        <v>43377</v>
      </c>
      <c r="I60" s="8">
        <v>1</v>
      </c>
      <c r="J60" s="9">
        <v>7</v>
      </c>
      <c r="K60" s="9">
        <v>665</v>
      </c>
      <c r="L60" s="9">
        <v>95</v>
      </c>
      <c r="M60" s="9">
        <v>665</v>
      </c>
      <c r="N60" s="9">
        <v>95</v>
      </c>
      <c r="O60" s="10" t="s">
        <v>250</v>
      </c>
      <c r="P60" s="9">
        <v>0</v>
      </c>
      <c r="Q60" s="12">
        <v>0</v>
      </c>
      <c r="R60" s="2" t="s">
        <v>250</v>
      </c>
      <c r="S60" s="2" t="s">
        <v>251</v>
      </c>
      <c r="T60" s="11">
        <f>HYPERLINK("https://my.zakupki.prom.ua/cabinet/purchases/state_purchase/view/8253405")</f>
      </c>
      <c r="U60" s="2" t="s">
        <v>37</v>
      </c>
      <c r="V60" s="2" t="s">
        <v>59</v>
      </c>
      <c r="W60" s="9">
        <v>665</v>
      </c>
      <c r="X60" s="2" t="s">
        <v>39</v>
      </c>
      <c r="Y60" s="2" t="s">
        <v>40</v>
      </c>
    </row>
    <row r="61" spans="1:25" ht="12.75">
      <c r="A61" s="5">
        <v>57</v>
      </c>
      <c r="B61" s="2" t="s">
        <v>252</v>
      </c>
      <c r="C61" s="6" t="s">
        <v>253</v>
      </c>
      <c r="D61" s="2" t="s">
        <v>254</v>
      </c>
      <c r="E61" s="2" t="s">
        <v>56</v>
      </c>
      <c r="F61" s="7">
        <v>43356</v>
      </c>
      <c r="G61" s="2"/>
      <c r="H61" s="7">
        <v>43381</v>
      </c>
      <c r="I61" s="8">
        <v>1</v>
      </c>
      <c r="J61" s="9">
        <v>670</v>
      </c>
      <c r="K61" s="9">
        <v>42045.38</v>
      </c>
      <c r="L61" s="9">
        <v>62.754298507462686</v>
      </c>
      <c r="M61" s="9">
        <v>42045.38</v>
      </c>
      <c r="N61" s="9">
        <v>62.754298507462686</v>
      </c>
      <c r="O61" s="10" t="s">
        <v>255</v>
      </c>
      <c r="P61" s="9">
        <v>0</v>
      </c>
      <c r="Q61" s="12">
        <v>0</v>
      </c>
      <c r="R61" s="2" t="s">
        <v>255</v>
      </c>
      <c r="S61" s="2" t="s">
        <v>256</v>
      </c>
      <c r="T61" s="11">
        <f>HYPERLINK("https://my.zakupki.prom.ua/cabinet/purchases/state_purchase/view/8253933")</f>
      </c>
      <c r="U61" s="2" t="s">
        <v>37</v>
      </c>
      <c r="V61" s="2" t="s">
        <v>257</v>
      </c>
      <c r="W61" s="9">
        <v>42045.38</v>
      </c>
      <c r="X61" s="2" t="s">
        <v>39</v>
      </c>
      <c r="Y61" s="2" t="s">
        <v>40</v>
      </c>
    </row>
    <row r="62" spans="1:25" ht="12.75">
      <c r="A62" s="5">
        <v>58</v>
      </c>
      <c r="B62" s="2" t="s">
        <v>258</v>
      </c>
      <c r="C62" s="6" t="s">
        <v>176</v>
      </c>
      <c r="D62" s="2" t="s">
        <v>177</v>
      </c>
      <c r="E62" s="2" t="s">
        <v>56</v>
      </c>
      <c r="F62" s="7">
        <v>43368</v>
      </c>
      <c r="G62" s="2"/>
      <c r="H62" s="7">
        <v>43368</v>
      </c>
      <c r="I62" s="8">
        <v>1</v>
      </c>
      <c r="J62" s="9">
        <v>12</v>
      </c>
      <c r="K62" s="9">
        <v>21700</v>
      </c>
      <c r="L62" s="9">
        <v>1808.3333333333333</v>
      </c>
      <c r="M62" s="9">
        <v>21700</v>
      </c>
      <c r="N62" s="9">
        <v>1808.3333333333333</v>
      </c>
      <c r="O62" s="10" t="s">
        <v>259</v>
      </c>
      <c r="P62" s="9">
        <v>0</v>
      </c>
      <c r="Q62" s="12">
        <v>0</v>
      </c>
      <c r="R62" s="2" t="s">
        <v>259</v>
      </c>
      <c r="S62" s="2" t="s">
        <v>36</v>
      </c>
      <c r="T62" s="11">
        <f>HYPERLINK("https://my.zakupki.prom.ua/cabinet/purchases/state_purchase/view/8361109")</f>
      </c>
      <c r="U62" s="2" t="s">
        <v>37</v>
      </c>
      <c r="V62" s="2" t="s">
        <v>260</v>
      </c>
      <c r="W62" s="9">
        <v>21700</v>
      </c>
      <c r="X62" s="2" t="s">
        <v>39</v>
      </c>
      <c r="Y62" s="2" t="s">
        <v>40</v>
      </c>
    </row>
    <row r="63" spans="1:25" ht="12.75">
      <c r="A63" s="5">
        <v>59</v>
      </c>
      <c r="B63" s="2" t="s">
        <v>261</v>
      </c>
      <c r="C63" s="6" t="s">
        <v>262</v>
      </c>
      <c r="D63" s="2" t="s">
        <v>263</v>
      </c>
      <c r="E63" s="2" t="s">
        <v>56</v>
      </c>
      <c r="F63" s="7">
        <v>43405</v>
      </c>
      <c r="G63" s="2"/>
      <c r="H63" s="7">
        <v>43405</v>
      </c>
      <c r="I63" s="8">
        <v>1</v>
      </c>
      <c r="J63" s="9">
        <v>1</v>
      </c>
      <c r="K63" s="9">
        <v>10312.5</v>
      </c>
      <c r="L63" s="9">
        <v>10312.5</v>
      </c>
      <c r="M63" s="9">
        <v>10312.5</v>
      </c>
      <c r="N63" s="9">
        <v>10312.5</v>
      </c>
      <c r="O63" s="10" t="s">
        <v>264</v>
      </c>
      <c r="P63" s="9">
        <v>0</v>
      </c>
      <c r="Q63" s="12">
        <v>0</v>
      </c>
      <c r="R63" s="2" t="s">
        <v>264</v>
      </c>
      <c r="S63" s="2" t="s">
        <v>265</v>
      </c>
      <c r="T63" s="11">
        <f>HYPERLINK("https://my.zakupki.prom.ua/cabinet/purchases/state_purchase/view/8732830")</f>
      </c>
      <c r="U63" s="2" t="s">
        <v>37</v>
      </c>
      <c r="V63" s="2" t="s">
        <v>266</v>
      </c>
      <c r="W63" s="9">
        <v>10312.5</v>
      </c>
      <c r="X63" s="2" t="s">
        <v>39</v>
      </c>
      <c r="Y63" s="2" t="s">
        <v>40</v>
      </c>
    </row>
    <row r="64" spans="1:25" ht="12.75">
      <c r="A64" s="5">
        <v>60</v>
      </c>
      <c r="B64" s="2" t="s">
        <v>267</v>
      </c>
      <c r="C64" s="6" t="s">
        <v>268</v>
      </c>
      <c r="D64" s="2" t="s">
        <v>135</v>
      </c>
      <c r="E64" s="2" t="s">
        <v>56</v>
      </c>
      <c r="F64" s="7">
        <v>43427</v>
      </c>
      <c r="G64" s="2"/>
      <c r="H64" s="7">
        <v>43433</v>
      </c>
      <c r="I64" s="8">
        <v>1</v>
      </c>
      <c r="J64" s="9">
        <v>2</v>
      </c>
      <c r="K64" s="9">
        <v>960</v>
      </c>
      <c r="L64" s="9">
        <v>480</v>
      </c>
      <c r="M64" s="9">
        <v>960</v>
      </c>
      <c r="N64" s="9">
        <v>480</v>
      </c>
      <c r="O64" s="10" t="s">
        <v>269</v>
      </c>
      <c r="P64" s="9">
        <v>0</v>
      </c>
      <c r="Q64" s="12">
        <v>0</v>
      </c>
      <c r="R64" s="2" t="s">
        <v>269</v>
      </c>
      <c r="S64" s="2" t="s">
        <v>137</v>
      </c>
      <c r="T64" s="11">
        <f>HYPERLINK("https://my.zakupki.prom.ua/cabinet/purchases/state_purchase/view/9012858")</f>
      </c>
      <c r="U64" s="2" t="s">
        <v>37</v>
      </c>
      <c r="V64" s="2" t="s">
        <v>270</v>
      </c>
      <c r="W64" s="9">
        <v>960</v>
      </c>
      <c r="X64" s="2" t="s">
        <v>39</v>
      </c>
      <c r="Y64" s="2" t="s">
        <v>40</v>
      </c>
    </row>
    <row r="65" spans="1:25" ht="12.75">
      <c r="A65" s="5">
        <v>61</v>
      </c>
      <c r="B65" s="2" t="s">
        <v>271</v>
      </c>
      <c r="C65" s="6" t="s">
        <v>176</v>
      </c>
      <c r="D65" s="2" t="s">
        <v>177</v>
      </c>
      <c r="E65" s="2" t="s">
        <v>272</v>
      </c>
      <c r="F65" s="7">
        <v>43451</v>
      </c>
      <c r="G65" s="2"/>
      <c r="H65" s="7">
        <v>43467</v>
      </c>
      <c r="I65" s="8">
        <v>1</v>
      </c>
      <c r="J65" s="9">
        <v>401</v>
      </c>
      <c r="K65" s="9">
        <v>739107.16</v>
      </c>
      <c r="L65" s="9">
        <v>1843.16</v>
      </c>
      <c r="M65" s="9">
        <v>739107.16</v>
      </c>
      <c r="N65" s="9">
        <v>1843.16</v>
      </c>
      <c r="O65" s="10" t="s">
        <v>259</v>
      </c>
      <c r="P65" s="9">
        <v>0</v>
      </c>
      <c r="Q65" s="12">
        <v>0</v>
      </c>
      <c r="R65" s="2" t="s">
        <v>259</v>
      </c>
      <c r="S65" s="2" t="s">
        <v>36</v>
      </c>
      <c r="T65" s="11">
        <f>HYPERLINK("https://my.zakupki.prom.ua/cabinet/purchases/state_purchase/view/9387864")</f>
      </c>
      <c r="U65" s="2" t="s">
        <v>37</v>
      </c>
      <c r="V65" s="2" t="s">
        <v>52</v>
      </c>
      <c r="W65" s="9">
        <v>739107.16</v>
      </c>
      <c r="X65" s="2" t="s">
        <v>39</v>
      </c>
      <c r="Y65" s="2" t="s">
        <v>40</v>
      </c>
    </row>
    <row r="66" spans="1:25" ht="12.75">
      <c r="A66" s="5">
        <v>62</v>
      </c>
      <c r="B66" s="2" t="s">
        <v>273</v>
      </c>
      <c r="C66" s="6" t="s">
        <v>274</v>
      </c>
      <c r="D66" s="2" t="s">
        <v>275</v>
      </c>
      <c r="E66" s="2" t="s">
        <v>56</v>
      </c>
      <c r="F66" s="7">
        <v>43467</v>
      </c>
      <c r="G66" s="2"/>
      <c r="H66" s="7">
        <v>43467</v>
      </c>
      <c r="I66" s="8">
        <v>1</v>
      </c>
      <c r="J66" s="9">
        <v>1</v>
      </c>
      <c r="K66" s="9">
        <v>133830.37</v>
      </c>
      <c r="L66" s="9">
        <v>133830.37</v>
      </c>
      <c r="M66" s="9">
        <v>133830.37</v>
      </c>
      <c r="N66" s="9">
        <v>133830.37</v>
      </c>
      <c r="O66" s="10" t="s">
        <v>255</v>
      </c>
      <c r="P66" s="9">
        <v>0</v>
      </c>
      <c r="Q66" s="12">
        <v>0</v>
      </c>
      <c r="R66" s="2" t="s">
        <v>255</v>
      </c>
      <c r="S66" s="2" t="s">
        <v>256</v>
      </c>
      <c r="T66" s="11">
        <f>HYPERLINK("https://my.zakupki.prom.ua/cabinet/purchases/state_purchase/view/9641445")</f>
      </c>
      <c r="U66" s="2" t="s">
        <v>37</v>
      </c>
      <c r="V66" s="2" t="s">
        <v>276</v>
      </c>
      <c r="W66" s="9">
        <v>133830.37</v>
      </c>
      <c r="X66" s="2" t="s">
        <v>39</v>
      </c>
      <c r="Y66" s="2" t="s">
        <v>40</v>
      </c>
    </row>
    <row r="67" spans="1:25" ht="12.75">
      <c r="A67" s="5">
        <v>63</v>
      </c>
      <c r="B67" s="2" t="s">
        <v>277</v>
      </c>
      <c r="C67" s="6" t="s">
        <v>278</v>
      </c>
      <c r="D67" s="2" t="s">
        <v>118</v>
      </c>
      <c r="E67" s="2" t="s">
        <v>56</v>
      </c>
      <c r="F67" s="7">
        <v>43469</v>
      </c>
      <c r="G67" s="2"/>
      <c r="H67" s="7">
        <v>43473</v>
      </c>
      <c r="I67" s="8">
        <v>1</v>
      </c>
      <c r="J67" s="9">
        <v>12</v>
      </c>
      <c r="K67" s="9">
        <v>6863.16</v>
      </c>
      <c r="L67" s="9">
        <v>571.93</v>
      </c>
      <c r="M67" s="9">
        <v>6863.16</v>
      </c>
      <c r="N67" s="9">
        <v>571.93</v>
      </c>
      <c r="O67" s="10" t="s">
        <v>279</v>
      </c>
      <c r="P67" s="9">
        <v>0</v>
      </c>
      <c r="Q67" s="12">
        <v>0</v>
      </c>
      <c r="R67" s="2" t="s">
        <v>279</v>
      </c>
      <c r="S67" s="2" t="s">
        <v>97</v>
      </c>
      <c r="T67" s="11">
        <f>HYPERLINK("https://my.zakupki.prom.ua/cabinet/purchases/state_purchase/view/9663800")</f>
      </c>
      <c r="U67" s="2" t="s">
        <v>37</v>
      </c>
      <c r="V67" s="2" t="s">
        <v>280</v>
      </c>
      <c r="W67" s="9">
        <v>6863.16</v>
      </c>
      <c r="X67" s="2" t="s">
        <v>39</v>
      </c>
      <c r="Y67" s="2" t="s">
        <v>40</v>
      </c>
    </row>
    <row r="68" spans="1:25" ht="12.75">
      <c r="A68" s="5">
        <v>64</v>
      </c>
      <c r="B68" s="2" t="s">
        <v>281</v>
      </c>
      <c r="C68" s="6" t="s">
        <v>282</v>
      </c>
      <c r="D68" s="2" t="s">
        <v>62</v>
      </c>
      <c r="E68" s="2" t="s">
        <v>56</v>
      </c>
      <c r="F68" s="7">
        <v>43476</v>
      </c>
      <c r="G68" s="2"/>
      <c r="H68" s="7">
        <v>43476</v>
      </c>
      <c r="I68" s="8">
        <v>1</v>
      </c>
      <c r="J68" s="9">
        <v>272</v>
      </c>
      <c r="K68" s="9">
        <v>3995.14</v>
      </c>
      <c r="L68" s="9">
        <v>14.688014705882352</v>
      </c>
      <c r="M68" s="9">
        <v>3995.14</v>
      </c>
      <c r="N68" s="9">
        <v>14.688014705882352</v>
      </c>
      <c r="O68" s="10" t="s">
        <v>63</v>
      </c>
      <c r="P68" s="9">
        <v>0</v>
      </c>
      <c r="Q68" s="12">
        <v>0</v>
      </c>
      <c r="R68" s="2" t="s">
        <v>63</v>
      </c>
      <c r="S68" s="2" t="s">
        <v>64</v>
      </c>
      <c r="T68" s="11">
        <f>HYPERLINK("https://my.zakupki.prom.ua/cabinet/purchases/state_purchase/view/9741925")</f>
      </c>
      <c r="U68" s="2" t="s">
        <v>37</v>
      </c>
      <c r="V68" s="2" t="s">
        <v>65</v>
      </c>
      <c r="W68" s="9">
        <v>3995.14</v>
      </c>
      <c r="X68" s="2" t="s">
        <v>39</v>
      </c>
      <c r="Y68" s="2" t="s">
        <v>40</v>
      </c>
    </row>
    <row r="69" spans="1:25" ht="12.75">
      <c r="A69" s="5">
        <v>65</v>
      </c>
      <c r="B69" s="2" t="s">
        <v>283</v>
      </c>
      <c r="C69" s="6" t="s">
        <v>186</v>
      </c>
      <c r="D69" s="2" t="s">
        <v>187</v>
      </c>
      <c r="E69" s="2" t="s">
        <v>56</v>
      </c>
      <c r="F69" s="7">
        <v>43476</v>
      </c>
      <c r="G69" s="2"/>
      <c r="H69" s="7">
        <v>43476</v>
      </c>
      <c r="I69" s="8">
        <v>1</v>
      </c>
      <c r="J69" s="9">
        <v>272</v>
      </c>
      <c r="K69" s="9">
        <v>1654.86</v>
      </c>
      <c r="L69" s="9">
        <v>6.084044117647059</v>
      </c>
      <c r="M69" s="9">
        <v>1654.86</v>
      </c>
      <c r="N69" s="9">
        <v>6.084044117647059</v>
      </c>
      <c r="O69" s="10" t="s">
        <v>63</v>
      </c>
      <c r="P69" s="9">
        <v>0</v>
      </c>
      <c r="Q69" s="12">
        <v>0</v>
      </c>
      <c r="R69" s="2" t="s">
        <v>63</v>
      </c>
      <c r="S69" s="2" t="s">
        <v>64</v>
      </c>
      <c r="T69" s="11">
        <f>HYPERLINK("https://my.zakupki.prom.ua/cabinet/purchases/state_purchase/view/9742520")</f>
      </c>
      <c r="U69" s="2" t="s">
        <v>37</v>
      </c>
      <c r="V69" s="2" t="s">
        <v>69</v>
      </c>
      <c r="W69" s="9">
        <v>1654.86</v>
      </c>
      <c r="X69" s="2" t="s">
        <v>39</v>
      </c>
      <c r="Y69" s="2" t="s">
        <v>40</v>
      </c>
    </row>
    <row r="70" spans="1:25" ht="12.75">
      <c r="A70" s="5">
        <v>66</v>
      </c>
      <c r="B70" s="2" t="s">
        <v>284</v>
      </c>
      <c r="C70" s="6" t="s">
        <v>285</v>
      </c>
      <c r="D70" s="2" t="s">
        <v>78</v>
      </c>
      <c r="E70" s="2" t="s">
        <v>56</v>
      </c>
      <c r="F70" s="7">
        <v>43481</v>
      </c>
      <c r="G70" s="2"/>
      <c r="H70" s="7">
        <v>43482</v>
      </c>
      <c r="I70" s="8">
        <v>1</v>
      </c>
      <c r="J70" s="9">
        <v>3377</v>
      </c>
      <c r="K70" s="9">
        <v>1350.8</v>
      </c>
      <c r="L70" s="9">
        <v>0.4</v>
      </c>
      <c r="M70" s="9">
        <v>1350.8</v>
      </c>
      <c r="N70" s="9">
        <v>0.4</v>
      </c>
      <c r="O70" s="10" t="s">
        <v>286</v>
      </c>
      <c r="P70" s="9">
        <v>0</v>
      </c>
      <c r="Q70" s="12">
        <v>0</v>
      </c>
      <c r="R70" s="2" t="s">
        <v>286</v>
      </c>
      <c r="S70" s="2" t="s">
        <v>64</v>
      </c>
      <c r="T70" s="11">
        <f>HYPERLINK("https://my.zakupki.prom.ua/cabinet/purchases/state_purchase/view/9824614")</f>
      </c>
      <c r="U70" s="2" t="s">
        <v>37</v>
      </c>
      <c r="V70" s="2" t="s">
        <v>80</v>
      </c>
      <c r="W70" s="9">
        <v>1350.8</v>
      </c>
      <c r="X70" s="2" t="s">
        <v>39</v>
      </c>
      <c r="Y70" s="2" t="s">
        <v>40</v>
      </c>
    </row>
    <row r="71" spans="1:25" ht="12.75">
      <c r="A71" s="5">
        <v>67</v>
      </c>
      <c r="B71" s="2" t="s">
        <v>287</v>
      </c>
      <c r="C71" s="6" t="s">
        <v>285</v>
      </c>
      <c r="D71" s="2" t="s">
        <v>78</v>
      </c>
      <c r="E71" s="2" t="s">
        <v>56</v>
      </c>
      <c r="F71" s="7">
        <v>43481</v>
      </c>
      <c r="G71" s="2"/>
      <c r="H71" s="7">
        <v>43482</v>
      </c>
      <c r="I71" s="8">
        <v>1</v>
      </c>
      <c r="J71" s="9">
        <v>128</v>
      </c>
      <c r="K71" s="9">
        <v>2688</v>
      </c>
      <c r="L71" s="9">
        <v>21</v>
      </c>
      <c r="M71" s="9">
        <v>2688</v>
      </c>
      <c r="N71" s="9">
        <v>21</v>
      </c>
      <c r="O71" s="10" t="s">
        <v>286</v>
      </c>
      <c r="P71" s="9">
        <v>0</v>
      </c>
      <c r="Q71" s="12">
        <v>0</v>
      </c>
      <c r="R71" s="2" t="s">
        <v>286</v>
      </c>
      <c r="S71" s="2" t="s">
        <v>64</v>
      </c>
      <c r="T71" s="11">
        <f>HYPERLINK("https://my.zakupki.prom.ua/cabinet/purchases/state_purchase/view/9825238")</f>
      </c>
      <c r="U71" s="2" t="s">
        <v>37</v>
      </c>
      <c r="V71" s="2" t="s">
        <v>142</v>
      </c>
      <c r="W71" s="9">
        <v>2688</v>
      </c>
      <c r="X71" s="2" t="s">
        <v>39</v>
      </c>
      <c r="Y71" s="2" t="s">
        <v>40</v>
      </c>
    </row>
    <row r="72" spans="1:25" ht="12.75">
      <c r="A72" s="5">
        <v>68</v>
      </c>
      <c r="B72" s="2" t="s">
        <v>288</v>
      </c>
      <c r="C72" s="6" t="s">
        <v>289</v>
      </c>
      <c r="D72" s="2" t="s">
        <v>89</v>
      </c>
      <c r="E72" s="2" t="s">
        <v>56</v>
      </c>
      <c r="F72" s="7">
        <v>43490</v>
      </c>
      <c r="G72" s="2"/>
      <c r="H72" s="7">
        <v>43490</v>
      </c>
      <c r="I72" s="8">
        <v>1</v>
      </c>
      <c r="J72" s="9">
        <v>12</v>
      </c>
      <c r="K72" s="9">
        <v>2939.88</v>
      </c>
      <c r="L72" s="9">
        <v>244.99</v>
      </c>
      <c r="M72" s="9">
        <v>2939.88</v>
      </c>
      <c r="N72" s="9">
        <v>244.99</v>
      </c>
      <c r="O72" s="10" t="s">
        <v>204</v>
      </c>
      <c r="P72" s="9">
        <v>0</v>
      </c>
      <c r="Q72" s="12">
        <v>0</v>
      </c>
      <c r="R72" s="2" t="s">
        <v>204</v>
      </c>
      <c r="S72" s="2" t="s">
        <v>91</v>
      </c>
      <c r="T72" s="11">
        <f>HYPERLINK("https://my.zakupki.prom.ua/cabinet/purchases/state_purchase/view/10124610")</f>
      </c>
      <c r="U72" s="2" t="s">
        <v>37</v>
      </c>
      <c r="V72" s="2" t="s">
        <v>290</v>
      </c>
      <c r="W72" s="9">
        <v>2939.88</v>
      </c>
      <c r="X72" s="2" t="s">
        <v>39</v>
      </c>
      <c r="Y72" s="2" t="s">
        <v>40</v>
      </c>
    </row>
    <row r="73" spans="1:25" ht="12.75">
      <c r="A73" s="5">
        <v>69</v>
      </c>
      <c r="B73" s="2" t="s">
        <v>291</v>
      </c>
      <c r="C73" s="6" t="s">
        <v>71</v>
      </c>
      <c r="D73" s="2" t="s">
        <v>72</v>
      </c>
      <c r="E73" s="2" t="s">
        <v>56</v>
      </c>
      <c r="F73" s="7">
        <v>43495</v>
      </c>
      <c r="G73" s="2"/>
      <c r="H73" s="7">
        <v>43495</v>
      </c>
      <c r="I73" s="8">
        <v>1</v>
      </c>
      <c r="J73" s="9">
        <v>3025</v>
      </c>
      <c r="K73" s="9">
        <v>9223.71</v>
      </c>
      <c r="L73" s="9">
        <v>3.049160330578512</v>
      </c>
      <c r="M73" s="9">
        <v>9223.71</v>
      </c>
      <c r="N73" s="9">
        <v>3.049160330578512</v>
      </c>
      <c r="O73" s="10" t="s">
        <v>292</v>
      </c>
      <c r="P73" s="9">
        <v>0</v>
      </c>
      <c r="Q73" s="12">
        <v>0</v>
      </c>
      <c r="R73" s="2" t="s">
        <v>292</v>
      </c>
      <c r="S73" s="2" t="s">
        <v>293</v>
      </c>
      <c r="T73" s="11">
        <f>HYPERLINK("https://my.zakupki.prom.ua/cabinet/purchases/state_purchase/view/10251812")</f>
      </c>
      <c r="U73" s="2" t="s">
        <v>37</v>
      </c>
      <c r="V73" s="2" t="s">
        <v>294</v>
      </c>
      <c r="W73" s="9">
        <v>9223.71</v>
      </c>
      <c r="X73" s="2" t="s">
        <v>39</v>
      </c>
      <c r="Y73" s="2" t="s">
        <v>40</v>
      </c>
    </row>
    <row r="74" spans="1:25" ht="12.75">
      <c r="A74" s="5">
        <v>70</v>
      </c>
      <c r="B74" s="2" t="s">
        <v>295</v>
      </c>
      <c r="C74" s="6" t="s">
        <v>296</v>
      </c>
      <c r="D74" s="2" t="s">
        <v>101</v>
      </c>
      <c r="E74" s="2" t="s">
        <v>56</v>
      </c>
      <c r="F74" s="7">
        <v>43510</v>
      </c>
      <c r="G74" s="2"/>
      <c r="H74" s="7">
        <v>43514</v>
      </c>
      <c r="I74" s="8">
        <v>1</v>
      </c>
      <c r="J74" s="9">
        <v>3</v>
      </c>
      <c r="K74" s="9">
        <v>1051.92</v>
      </c>
      <c r="L74" s="9">
        <v>350.64</v>
      </c>
      <c r="M74" s="9">
        <v>1051.92</v>
      </c>
      <c r="N74" s="9">
        <v>350.64</v>
      </c>
      <c r="O74" s="10" t="s">
        <v>297</v>
      </c>
      <c r="P74" s="9">
        <v>0</v>
      </c>
      <c r="Q74" s="12">
        <v>0</v>
      </c>
      <c r="R74" s="2" t="s">
        <v>297</v>
      </c>
      <c r="S74" s="2" t="s">
        <v>103</v>
      </c>
      <c r="T74" s="11">
        <f>HYPERLINK("https://my.zakupki.prom.ua/cabinet/purchases/state_purchase/view/10566278")</f>
      </c>
      <c r="U74" s="2" t="s">
        <v>37</v>
      </c>
      <c r="V74" s="2" t="s">
        <v>298</v>
      </c>
      <c r="W74" s="9">
        <v>1051.92</v>
      </c>
      <c r="X74" s="2" t="s">
        <v>39</v>
      </c>
      <c r="Y74" s="2" t="s">
        <v>40</v>
      </c>
    </row>
    <row r="75" spans="1:25" ht="12.75">
      <c r="A75" s="5">
        <v>71</v>
      </c>
      <c r="B75" s="2" t="s">
        <v>299</v>
      </c>
      <c r="C75" s="6" t="s">
        <v>300</v>
      </c>
      <c r="D75" s="2" t="s">
        <v>301</v>
      </c>
      <c r="E75" s="2" t="s">
        <v>29</v>
      </c>
      <c r="F75" s="7">
        <v>43537</v>
      </c>
      <c r="G75" s="2"/>
      <c r="H75" s="7">
        <v>43552</v>
      </c>
      <c r="I75" s="8">
        <v>0</v>
      </c>
      <c r="J75" s="9">
        <v>1</v>
      </c>
      <c r="K75" s="9">
        <v>65000</v>
      </c>
      <c r="L75" s="9">
        <v>65000</v>
      </c>
      <c r="M75" s="5">
        <v>0</v>
      </c>
      <c r="N75" s="2"/>
      <c r="O75" s="10"/>
      <c r="P75" s="2"/>
      <c r="Q75" s="2"/>
      <c r="R75" s="2"/>
      <c r="S75" s="2"/>
      <c r="T75" s="11">
        <f>HYPERLINK("https://my.zakupki.prom.ua/cabinet/purchases/state_purchase/view/10897057")</f>
      </c>
      <c r="U75" s="2" t="s">
        <v>30</v>
      </c>
      <c r="V75" s="2"/>
      <c r="W75" s="2"/>
      <c r="X75" s="2"/>
      <c r="Y75" s="2"/>
    </row>
    <row r="76" spans="1:25" ht="12.75">
      <c r="A76" s="5">
        <v>72</v>
      </c>
      <c r="B76" s="2" t="s">
        <v>302</v>
      </c>
      <c r="C76" s="6" t="s">
        <v>303</v>
      </c>
      <c r="D76" s="2" t="s">
        <v>107</v>
      </c>
      <c r="E76" s="2" t="s">
        <v>56</v>
      </c>
      <c r="F76" s="7">
        <v>43538</v>
      </c>
      <c r="G76" s="2"/>
      <c r="H76" s="7">
        <v>43543</v>
      </c>
      <c r="I76" s="8">
        <v>1</v>
      </c>
      <c r="J76" s="9">
        <v>41</v>
      </c>
      <c r="K76" s="9">
        <v>1078</v>
      </c>
      <c r="L76" s="9">
        <v>26.29268292682927</v>
      </c>
      <c r="M76" s="9">
        <v>1078</v>
      </c>
      <c r="N76" s="9">
        <v>26.29268292682927</v>
      </c>
      <c r="O76" s="10" t="s">
        <v>242</v>
      </c>
      <c r="P76" s="9">
        <v>0</v>
      </c>
      <c r="Q76" s="12">
        <v>0</v>
      </c>
      <c r="R76" s="2" t="s">
        <v>242</v>
      </c>
      <c r="S76" s="2" t="s">
        <v>109</v>
      </c>
      <c r="T76" s="11">
        <f>HYPERLINK("https://my.zakupki.prom.ua/cabinet/purchases/state_purchase/view/10916336")</f>
      </c>
      <c r="U76" s="2" t="s">
        <v>37</v>
      </c>
      <c r="V76" s="2" t="s">
        <v>304</v>
      </c>
      <c r="W76" s="9">
        <v>1078</v>
      </c>
      <c r="X76" s="2" t="s">
        <v>39</v>
      </c>
      <c r="Y76" s="2" t="s">
        <v>40</v>
      </c>
    </row>
    <row r="77" spans="1:25" ht="12.75">
      <c r="A77" s="5">
        <v>73</v>
      </c>
      <c r="B77" s="2" t="s">
        <v>305</v>
      </c>
      <c r="C77" s="6" t="s">
        <v>216</v>
      </c>
      <c r="D77" s="2" t="s">
        <v>83</v>
      </c>
      <c r="E77" s="2" t="s">
        <v>56</v>
      </c>
      <c r="F77" s="7">
        <v>43539</v>
      </c>
      <c r="G77" s="2"/>
      <c r="H77" s="7">
        <v>43543</v>
      </c>
      <c r="I77" s="8">
        <v>1</v>
      </c>
      <c r="J77" s="9">
        <v>1</v>
      </c>
      <c r="K77" s="9">
        <v>4234.56</v>
      </c>
      <c r="L77" s="9">
        <v>4234.56</v>
      </c>
      <c r="M77" s="9">
        <v>4234.56</v>
      </c>
      <c r="N77" s="9">
        <v>4234.56</v>
      </c>
      <c r="O77" s="10" t="s">
        <v>217</v>
      </c>
      <c r="P77" s="9">
        <v>0</v>
      </c>
      <c r="Q77" s="12">
        <v>0</v>
      </c>
      <c r="R77" s="2" t="s">
        <v>217</v>
      </c>
      <c r="S77" s="2" t="s">
        <v>85</v>
      </c>
      <c r="T77" s="11">
        <f>HYPERLINK("https://my.zakupki.prom.ua/cabinet/purchases/state_purchase/view/10937525")</f>
      </c>
      <c r="U77" s="2" t="s">
        <v>37</v>
      </c>
      <c r="V77" s="2" t="s">
        <v>86</v>
      </c>
      <c r="W77" s="9">
        <v>4234.56</v>
      </c>
      <c r="X77" s="2" t="s">
        <v>39</v>
      </c>
      <c r="Y77" s="2" t="s">
        <v>40</v>
      </c>
    </row>
    <row r="78" spans="1:25" ht="12.75">
      <c r="A78" s="5">
        <v>74</v>
      </c>
      <c r="B78" s="2" t="s">
        <v>306</v>
      </c>
      <c r="C78" s="6" t="s">
        <v>307</v>
      </c>
      <c r="D78" s="2" t="s">
        <v>308</v>
      </c>
      <c r="E78" s="2" t="s">
        <v>56</v>
      </c>
      <c r="F78" s="7">
        <v>43545</v>
      </c>
      <c r="G78" s="2"/>
      <c r="H78" s="7">
        <v>43550</v>
      </c>
      <c r="I78" s="8">
        <v>1</v>
      </c>
      <c r="J78" s="9">
        <v>102.1</v>
      </c>
      <c r="K78" s="9">
        <v>647</v>
      </c>
      <c r="L78" s="9">
        <v>6.33692458374143</v>
      </c>
      <c r="M78" s="9">
        <v>647</v>
      </c>
      <c r="N78" s="9">
        <v>6.33692458374143</v>
      </c>
      <c r="O78" s="10" t="s">
        <v>220</v>
      </c>
      <c r="P78" s="9">
        <v>0</v>
      </c>
      <c r="Q78" s="12">
        <v>0</v>
      </c>
      <c r="R78" s="2" t="s">
        <v>220</v>
      </c>
      <c r="S78" s="2" t="s">
        <v>221</v>
      </c>
      <c r="T78" s="11">
        <f>HYPERLINK("https://my.zakupki.prom.ua/cabinet/purchases/state_purchase/view/10992820")</f>
      </c>
      <c r="U78" s="2" t="s">
        <v>37</v>
      </c>
      <c r="V78" s="2" t="s">
        <v>59</v>
      </c>
      <c r="W78" s="9">
        <v>647</v>
      </c>
      <c r="X78" s="2" t="s">
        <v>39</v>
      </c>
      <c r="Y78" s="2" t="s">
        <v>40</v>
      </c>
    </row>
    <row r="79" spans="1:25" ht="12.75">
      <c r="A79" s="5">
        <v>75</v>
      </c>
      <c r="B79" s="2" t="s">
        <v>309</v>
      </c>
      <c r="C79" s="6" t="s">
        <v>310</v>
      </c>
      <c r="D79" s="2" t="s">
        <v>230</v>
      </c>
      <c r="E79" s="2" t="s">
        <v>56</v>
      </c>
      <c r="F79" s="7">
        <v>43550</v>
      </c>
      <c r="G79" s="2"/>
      <c r="H79" s="7">
        <v>43552</v>
      </c>
      <c r="I79" s="8">
        <v>1</v>
      </c>
      <c r="J79" s="9">
        <v>4</v>
      </c>
      <c r="K79" s="9">
        <v>1991</v>
      </c>
      <c r="L79" s="9">
        <v>497.75</v>
      </c>
      <c r="M79" s="9">
        <v>1991</v>
      </c>
      <c r="N79" s="9">
        <v>497.75</v>
      </c>
      <c r="O79" s="10" t="s">
        <v>311</v>
      </c>
      <c r="P79" s="9">
        <v>0</v>
      </c>
      <c r="Q79" s="12">
        <v>0</v>
      </c>
      <c r="R79" s="2" t="s">
        <v>311</v>
      </c>
      <c r="S79" s="2" t="s">
        <v>312</v>
      </c>
      <c r="T79" s="11">
        <f>HYPERLINK("https://my.zakupki.prom.ua/cabinet/purchases/state_purchase/view/11075082")</f>
      </c>
      <c r="U79" s="2" t="s">
        <v>37</v>
      </c>
      <c r="V79" s="2" t="s">
        <v>59</v>
      </c>
      <c r="W79" s="9">
        <v>1991</v>
      </c>
      <c r="X79" s="2" t="s">
        <v>39</v>
      </c>
      <c r="Y79" s="2" t="s">
        <v>40</v>
      </c>
    </row>
    <row r="80" spans="1:25" ht="12.75">
      <c r="A80" s="5">
        <v>76</v>
      </c>
      <c r="B80" s="2" t="s">
        <v>313</v>
      </c>
      <c r="C80" s="6" t="s">
        <v>314</v>
      </c>
      <c r="D80" s="2" t="s">
        <v>315</v>
      </c>
      <c r="E80" s="2" t="s">
        <v>56</v>
      </c>
      <c r="F80" s="7">
        <v>43587</v>
      </c>
      <c r="G80" s="2"/>
      <c r="H80" s="7">
        <v>43588</v>
      </c>
      <c r="I80" s="8">
        <v>1</v>
      </c>
      <c r="J80" s="9">
        <v>1</v>
      </c>
      <c r="K80" s="9">
        <v>6058.73</v>
      </c>
      <c r="L80" s="9">
        <v>6058.73</v>
      </c>
      <c r="M80" s="9">
        <v>6058.73</v>
      </c>
      <c r="N80" s="9">
        <v>6058.73</v>
      </c>
      <c r="O80" s="10" t="s">
        <v>316</v>
      </c>
      <c r="P80" s="9">
        <v>0</v>
      </c>
      <c r="Q80" s="12">
        <v>0</v>
      </c>
      <c r="R80" s="2" t="s">
        <v>316</v>
      </c>
      <c r="S80" s="2" t="s">
        <v>317</v>
      </c>
      <c r="T80" s="11">
        <f>HYPERLINK("https://my.zakupki.prom.ua/cabinet/purchases/state_purchase/view/11462264")</f>
      </c>
      <c r="U80" s="2" t="s">
        <v>37</v>
      </c>
      <c r="V80" s="2" t="s">
        <v>318</v>
      </c>
      <c r="W80" s="9">
        <v>6058.73</v>
      </c>
      <c r="X80" s="2" t="s">
        <v>39</v>
      </c>
      <c r="Y80" s="2" t="s">
        <v>40</v>
      </c>
    </row>
    <row r="81" spans="1:25" ht="12.75">
      <c r="A81" s="5">
        <v>77</v>
      </c>
      <c r="B81" s="2" t="s">
        <v>319</v>
      </c>
      <c r="C81" s="6" t="s">
        <v>320</v>
      </c>
      <c r="D81" s="2" t="s">
        <v>254</v>
      </c>
      <c r="E81" s="2" t="s">
        <v>56</v>
      </c>
      <c r="F81" s="7">
        <v>43656</v>
      </c>
      <c r="G81" s="2"/>
      <c r="H81" s="7">
        <v>43657</v>
      </c>
      <c r="I81" s="8">
        <v>1</v>
      </c>
      <c r="J81" s="9">
        <v>1</v>
      </c>
      <c r="K81" s="9">
        <v>385.13</v>
      </c>
      <c r="L81" s="9">
        <v>385.13</v>
      </c>
      <c r="M81" s="9">
        <v>385.13</v>
      </c>
      <c r="N81" s="9">
        <v>385.13</v>
      </c>
      <c r="O81" s="10" t="s">
        <v>255</v>
      </c>
      <c r="P81" s="9">
        <v>0</v>
      </c>
      <c r="Q81" s="12">
        <v>0</v>
      </c>
      <c r="R81" s="2" t="s">
        <v>255</v>
      </c>
      <c r="S81" s="2" t="s">
        <v>256</v>
      </c>
      <c r="T81" s="11">
        <f>HYPERLINK("https://my.zakupki.prom.ua/cabinet/purchases/state_purchase/view/12185786")</f>
      </c>
      <c r="U81" s="2" t="s">
        <v>37</v>
      </c>
      <c r="V81" s="2" t="s">
        <v>321</v>
      </c>
      <c r="W81" s="9">
        <v>385.13</v>
      </c>
      <c r="X81" s="2" t="s">
        <v>39</v>
      </c>
      <c r="Y81" s="2" t="s">
        <v>40</v>
      </c>
    </row>
    <row r="82" spans="1:25" ht="12.75">
      <c r="A82" s="5">
        <v>78</v>
      </c>
      <c r="B82" s="2" t="s">
        <v>322</v>
      </c>
      <c r="C82" s="6" t="s">
        <v>323</v>
      </c>
      <c r="D82" s="2" t="s">
        <v>324</v>
      </c>
      <c r="E82" s="2" t="s">
        <v>56</v>
      </c>
      <c r="F82" s="7">
        <v>43692</v>
      </c>
      <c r="G82" s="2"/>
      <c r="H82" s="7">
        <v>43693</v>
      </c>
      <c r="I82" s="8">
        <v>1</v>
      </c>
      <c r="J82" s="9">
        <v>1</v>
      </c>
      <c r="K82" s="9">
        <v>3500</v>
      </c>
      <c r="L82" s="9">
        <v>3500</v>
      </c>
      <c r="M82" s="9">
        <v>3500</v>
      </c>
      <c r="N82" s="9">
        <v>3500</v>
      </c>
      <c r="O82" s="10" t="s">
        <v>325</v>
      </c>
      <c r="P82" s="9">
        <v>0</v>
      </c>
      <c r="Q82" s="12">
        <v>0</v>
      </c>
      <c r="R82" s="2" t="s">
        <v>325</v>
      </c>
      <c r="S82" s="2" t="s">
        <v>326</v>
      </c>
      <c r="T82" s="11">
        <f>HYPERLINK("https://my.zakupki.prom.ua/cabinet/purchases/state_purchase/view/12545308")</f>
      </c>
      <c r="U82" s="2" t="s">
        <v>37</v>
      </c>
      <c r="V82" s="2" t="s">
        <v>59</v>
      </c>
      <c r="W82" s="9">
        <v>3500</v>
      </c>
      <c r="X82" s="2" t="s">
        <v>39</v>
      </c>
      <c r="Y82" s="2" t="s">
        <v>40</v>
      </c>
    </row>
    <row r="83" spans="1:25" ht="12.75">
      <c r="A83" s="5">
        <v>79</v>
      </c>
      <c r="B83" s="2" t="s">
        <v>327</v>
      </c>
      <c r="C83" s="6" t="s">
        <v>328</v>
      </c>
      <c r="D83" s="2" t="s">
        <v>210</v>
      </c>
      <c r="E83" s="2" t="s">
        <v>56</v>
      </c>
      <c r="F83" s="7">
        <v>43718</v>
      </c>
      <c r="G83" s="2"/>
      <c r="H83" s="7">
        <v>43719</v>
      </c>
      <c r="I83" s="8">
        <v>1</v>
      </c>
      <c r="J83" s="9">
        <v>15</v>
      </c>
      <c r="K83" s="9">
        <v>1280</v>
      </c>
      <c r="L83" s="9">
        <v>85.33333333333333</v>
      </c>
      <c r="M83" s="9">
        <v>1280</v>
      </c>
      <c r="N83" s="9">
        <v>85.33333333333333</v>
      </c>
      <c r="O83" s="10" t="s">
        <v>211</v>
      </c>
      <c r="P83" s="9">
        <v>0</v>
      </c>
      <c r="Q83" s="12">
        <v>0</v>
      </c>
      <c r="R83" s="2" t="s">
        <v>211</v>
      </c>
      <c r="S83" s="2" t="s">
        <v>212</v>
      </c>
      <c r="T83" s="11">
        <f>HYPERLINK("https://my.zakupki.prom.ua/cabinet/purchases/state_purchase/view/12788261")</f>
      </c>
      <c r="U83" s="2" t="s">
        <v>37</v>
      </c>
      <c r="V83" s="2" t="s">
        <v>59</v>
      </c>
      <c r="W83" s="9">
        <v>1280</v>
      </c>
      <c r="X83" s="2" t="s">
        <v>39</v>
      </c>
      <c r="Y83" s="2" t="s">
        <v>40</v>
      </c>
    </row>
    <row r="84" spans="1:25" ht="12.75">
      <c r="A84" s="5">
        <v>80</v>
      </c>
      <c r="B84" s="2" t="s">
        <v>329</v>
      </c>
      <c r="C84" s="6" t="s">
        <v>330</v>
      </c>
      <c r="D84" s="2" t="s">
        <v>135</v>
      </c>
      <c r="E84" s="2" t="s">
        <v>56</v>
      </c>
      <c r="F84" s="7">
        <v>43804</v>
      </c>
      <c r="G84" s="2"/>
      <c r="H84" s="7">
        <v>43805</v>
      </c>
      <c r="I84" s="8">
        <v>1</v>
      </c>
      <c r="J84" s="9">
        <v>1</v>
      </c>
      <c r="K84" s="9">
        <v>1560</v>
      </c>
      <c r="L84" s="9">
        <v>1560</v>
      </c>
      <c r="M84" s="9">
        <v>1560</v>
      </c>
      <c r="N84" s="9">
        <v>1560</v>
      </c>
      <c r="O84" s="10" t="s">
        <v>269</v>
      </c>
      <c r="P84" s="9">
        <v>0</v>
      </c>
      <c r="Q84" s="12">
        <v>0</v>
      </c>
      <c r="R84" s="2" t="s">
        <v>269</v>
      </c>
      <c r="S84" s="2" t="s">
        <v>137</v>
      </c>
      <c r="T84" s="11">
        <f>HYPERLINK("https://my.zakupki.prom.ua/cabinet/purchases/state_purchase/view/13884952")</f>
      </c>
      <c r="U84" s="2" t="s">
        <v>37</v>
      </c>
      <c r="V84" s="2" t="s">
        <v>331</v>
      </c>
      <c r="W84" s="9">
        <v>1560</v>
      </c>
      <c r="X84" s="2" t="s">
        <v>39</v>
      </c>
      <c r="Y84" s="2" t="s">
        <v>40</v>
      </c>
    </row>
    <row r="85" spans="1:25" ht="12.75">
      <c r="A85" s="5">
        <v>81</v>
      </c>
      <c r="B85" s="2" t="s">
        <v>332</v>
      </c>
      <c r="C85" s="6" t="s">
        <v>333</v>
      </c>
      <c r="D85" s="2" t="s">
        <v>334</v>
      </c>
      <c r="E85" s="2" t="s">
        <v>160</v>
      </c>
      <c r="F85" s="7">
        <v>43809</v>
      </c>
      <c r="G85" s="2"/>
      <c r="H85" s="7">
        <v>43824</v>
      </c>
      <c r="I85" s="8">
        <v>1</v>
      </c>
      <c r="J85" s="9">
        <v>16836</v>
      </c>
      <c r="K85" s="9">
        <v>492123.25</v>
      </c>
      <c r="L85" s="9">
        <v>29.23041399382276</v>
      </c>
      <c r="M85" s="5">
        <v>0</v>
      </c>
      <c r="N85" s="2"/>
      <c r="O85" s="10"/>
      <c r="P85" s="2"/>
      <c r="Q85" s="2"/>
      <c r="R85" s="2"/>
      <c r="S85" s="2"/>
      <c r="T85" s="11">
        <f>HYPERLINK("https://my.zakupki.prom.ua/cabinet/purchases/state_purchase/view/13961180")</f>
      </c>
      <c r="U85" s="2" t="s">
        <v>30</v>
      </c>
      <c r="V85" s="2"/>
      <c r="W85" s="2"/>
      <c r="X85" s="2"/>
      <c r="Y85" s="2"/>
    </row>
    <row r="86" spans="1:25" ht="12.75">
      <c r="A86" s="5">
        <v>82</v>
      </c>
      <c r="B86" s="2" t="s">
        <v>335</v>
      </c>
      <c r="C86" s="6" t="s">
        <v>336</v>
      </c>
      <c r="D86" s="2" t="s">
        <v>337</v>
      </c>
      <c r="E86" s="2" t="s">
        <v>56</v>
      </c>
      <c r="F86" s="7">
        <v>43816</v>
      </c>
      <c r="G86" s="2"/>
      <c r="H86" s="7">
        <v>43816</v>
      </c>
      <c r="I86" s="8">
        <v>1</v>
      </c>
      <c r="J86" s="9">
        <v>3262</v>
      </c>
      <c r="K86" s="9">
        <v>278.1</v>
      </c>
      <c r="L86" s="9">
        <v>0.08525444512568976</v>
      </c>
      <c r="M86" s="9">
        <v>278.1</v>
      </c>
      <c r="N86" s="9">
        <v>0.08525444512568976</v>
      </c>
      <c r="O86" s="10" t="s">
        <v>338</v>
      </c>
      <c r="P86" s="9">
        <v>0</v>
      </c>
      <c r="Q86" s="12">
        <v>0</v>
      </c>
      <c r="R86" s="2" t="s">
        <v>338</v>
      </c>
      <c r="S86" s="2" t="s">
        <v>74</v>
      </c>
      <c r="T86" s="11">
        <f>HYPERLINK("https://my.zakupki.prom.ua/cabinet/purchases/state_purchase/view/14123172")</f>
      </c>
      <c r="U86" s="2" t="s">
        <v>37</v>
      </c>
      <c r="V86" s="2" t="s">
        <v>294</v>
      </c>
      <c r="W86" s="9">
        <v>278.1</v>
      </c>
      <c r="X86" s="2" t="s">
        <v>39</v>
      </c>
      <c r="Y86" s="2" t="s">
        <v>40</v>
      </c>
    </row>
    <row r="87" spans="1:25" ht="12.75">
      <c r="A87" s="5">
        <v>83</v>
      </c>
      <c r="B87" s="2" t="s">
        <v>339</v>
      </c>
      <c r="C87" s="6" t="s">
        <v>340</v>
      </c>
      <c r="D87" s="2" t="s">
        <v>177</v>
      </c>
      <c r="E87" s="2" t="s">
        <v>34</v>
      </c>
      <c r="F87" s="7">
        <v>43826</v>
      </c>
      <c r="G87" s="2"/>
      <c r="H87" s="7">
        <v>43833</v>
      </c>
      <c r="I87" s="8">
        <v>1</v>
      </c>
      <c r="J87" s="9">
        <v>307.961</v>
      </c>
      <c r="K87" s="9">
        <v>547437.63</v>
      </c>
      <c r="L87" s="9">
        <v>1777.6199908429965</v>
      </c>
      <c r="M87" s="9">
        <v>547437.63</v>
      </c>
      <c r="N87" s="9">
        <v>1777.6199908429965</v>
      </c>
      <c r="O87" s="10" t="s">
        <v>259</v>
      </c>
      <c r="P87" s="9">
        <v>0</v>
      </c>
      <c r="Q87" s="12">
        <v>0</v>
      </c>
      <c r="R87" s="2" t="s">
        <v>259</v>
      </c>
      <c r="S87" s="2" t="s">
        <v>36</v>
      </c>
      <c r="T87" s="11">
        <f>HYPERLINK("https://my.zakupki.prom.ua/cabinet/purchases/state_purchase/view/14325936")</f>
      </c>
      <c r="U87" s="2" t="s">
        <v>37</v>
      </c>
      <c r="V87" s="2" t="s">
        <v>52</v>
      </c>
      <c r="W87" s="9">
        <v>547437.63</v>
      </c>
      <c r="X87" s="2" t="s">
        <v>39</v>
      </c>
      <c r="Y87" s="2" t="s">
        <v>341</v>
      </c>
    </row>
    <row r="88" spans="1:25" ht="12.75">
      <c r="A88" s="5">
        <v>84</v>
      </c>
      <c r="B88" s="2" t="s">
        <v>342</v>
      </c>
      <c r="C88" s="6" t="s">
        <v>343</v>
      </c>
      <c r="D88" s="2" t="s">
        <v>344</v>
      </c>
      <c r="E88" s="2" t="s">
        <v>56</v>
      </c>
      <c r="F88" s="7">
        <v>43844</v>
      </c>
      <c r="G88" s="2"/>
      <c r="H88" s="7">
        <v>43844</v>
      </c>
      <c r="I88" s="8">
        <v>1</v>
      </c>
      <c r="J88" s="9">
        <v>7142</v>
      </c>
      <c r="K88" s="9">
        <v>199976</v>
      </c>
      <c r="L88" s="9">
        <v>28</v>
      </c>
      <c r="M88" s="9">
        <v>199976</v>
      </c>
      <c r="N88" s="9">
        <v>28</v>
      </c>
      <c r="O88" s="10" t="s">
        <v>345</v>
      </c>
      <c r="P88" s="9">
        <v>0</v>
      </c>
      <c r="Q88" s="12">
        <v>0</v>
      </c>
      <c r="R88" s="2" t="s">
        <v>345</v>
      </c>
      <c r="S88" s="2" t="s">
        <v>246</v>
      </c>
      <c r="T88" s="11">
        <f>HYPERLINK("https://my.zakupki.prom.ua/cabinet/purchases/state_purchase/view/14481757")</f>
      </c>
      <c r="U88" s="2" t="s">
        <v>37</v>
      </c>
      <c r="V88" s="2" t="s">
        <v>346</v>
      </c>
      <c r="W88" s="9">
        <v>199976</v>
      </c>
      <c r="X88" s="2" t="s">
        <v>39</v>
      </c>
      <c r="Y88" s="2" t="s">
        <v>40</v>
      </c>
    </row>
    <row r="89" spans="1:25" ht="12.75">
      <c r="A89" s="5">
        <v>85</v>
      </c>
      <c r="B89" s="2" t="s">
        <v>347</v>
      </c>
      <c r="C89" s="6" t="s">
        <v>348</v>
      </c>
      <c r="D89" s="2" t="s">
        <v>118</v>
      </c>
      <c r="E89" s="2" t="s">
        <v>56</v>
      </c>
      <c r="F89" s="7">
        <v>43845</v>
      </c>
      <c r="G89" s="2"/>
      <c r="H89" s="7">
        <v>43845</v>
      </c>
      <c r="I89" s="8">
        <v>1</v>
      </c>
      <c r="J89" s="9">
        <v>1</v>
      </c>
      <c r="K89" s="9">
        <v>7272</v>
      </c>
      <c r="L89" s="9">
        <v>7272</v>
      </c>
      <c r="M89" s="9">
        <v>7272</v>
      </c>
      <c r="N89" s="9">
        <v>7272</v>
      </c>
      <c r="O89" s="10" t="s">
        <v>279</v>
      </c>
      <c r="P89" s="9">
        <v>0</v>
      </c>
      <c r="Q89" s="12">
        <v>0</v>
      </c>
      <c r="R89" s="2" t="s">
        <v>279</v>
      </c>
      <c r="S89" s="2" t="s">
        <v>97</v>
      </c>
      <c r="T89" s="11">
        <f>HYPERLINK("https://my.zakupki.prom.ua/cabinet/purchases/state_purchase/view/14499082")</f>
      </c>
      <c r="U89" s="2" t="s">
        <v>37</v>
      </c>
      <c r="V89" s="2" t="s">
        <v>349</v>
      </c>
      <c r="W89" s="9">
        <v>7272</v>
      </c>
      <c r="X89" s="2" t="s">
        <v>39</v>
      </c>
      <c r="Y89" s="2" t="s">
        <v>40</v>
      </c>
    </row>
    <row r="90" spans="1:25" ht="12.75">
      <c r="A90" s="5">
        <v>86</v>
      </c>
      <c r="B90" s="2" t="s">
        <v>350</v>
      </c>
      <c r="C90" s="6" t="s">
        <v>340</v>
      </c>
      <c r="D90" s="2" t="s">
        <v>177</v>
      </c>
      <c r="E90" s="2" t="s">
        <v>34</v>
      </c>
      <c r="F90" s="7">
        <v>43846</v>
      </c>
      <c r="G90" s="2"/>
      <c r="H90" s="7">
        <v>43853</v>
      </c>
      <c r="I90" s="8">
        <v>1</v>
      </c>
      <c r="J90" s="9">
        <v>307.961</v>
      </c>
      <c r="K90" s="9">
        <v>547437.63</v>
      </c>
      <c r="L90" s="9">
        <v>1777.6199908429965</v>
      </c>
      <c r="M90" s="9">
        <v>547437.63</v>
      </c>
      <c r="N90" s="9">
        <v>1777.6199908429965</v>
      </c>
      <c r="O90" s="10" t="s">
        <v>259</v>
      </c>
      <c r="P90" s="9">
        <v>0</v>
      </c>
      <c r="Q90" s="12">
        <v>0</v>
      </c>
      <c r="R90" s="2" t="s">
        <v>259</v>
      </c>
      <c r="S90" s="2" t="s">
        <v>36</v>
      </c>
      <c r="T90" s="11">
        <f>HYPERLINK("https://my.zakupki.prom.ua/cabinet/purchases/state_purchase/view/14556335")</f>
      </c>
      <c r="U90" s="2" t="s">
        <v>37</v>
      </c>
      <c r="V90" s="2" t="s">
        <v>52</v>
      </c>
      <c r="W90" s="9">
        <v>547437.63</v>
      </c>
      <c r="X90" s="2" t="s">
        <v>39</v>
      </c>
      <c r="Y90" s="2" t="s">
        <v>40</v>
      </c>
    </row>
    <row r="91" spans="1:25" ht="12.75">
      <c r="A91" s="5">
        <v>87</v>
      </c>
      <c r="B91" s="2" t="s">
        <v>351</v>
      </c>
      <c r="C91" s="6" t="s">
        <v>352</v>
      </c>
      <c r="D91" s="2" t="s">
        <v>78</v>
      </c>
      <c r="E91" s="2" t="s">
        <v>56</v>
      </c>
      <c r="F91" s="7">
        <v>43851</v>
      </c>
      <c r="G91" s="2"/>
      <c r="H91" s="7">
        <v>43851</v>
      </c>
      <c r="I91" s="8">
        <v>1</v>
      </c>
      <c r="J91" s="9">
        <v>2407</v>
      </c>
      <c r="K91" s="9">
        <v>962.8</v>
      </c>
      <c r="L91" s="9">
        <v>0.4</v>
      </c>
      <c r="M91" s="9">
        <v>962.8</v>
      </c>
      <c r="N91" s="9">
        <v>0.4</v>
      </c>
      <c r="O91" s="10" t="s">
        <v>286</v>
      </c>
      <c r="P91" s="9">
        <v>0</v>
      </c>
      <c r="Q91" s="12">
        <v>0</v>
      </c>
      <c r="R91" s="2" t="s">
        <v>286</v>
      </c>
      <c r="S91" s="2" t="s">
        <v>64</v>
      </c>
      <c r="T91" s="11">
        <f>HYPERLINK("https://my.zakupki.prom.ua/cabinet/purchases/state_purchase/view/14659353")</f>
      </c>
      <c r="U91" s="2" t="s">
        <v>37</v>
      </c>
      <c r="V91" s="2" t="s">
        <v>353</v>
      </c>
      <c r="W91" s="9">
        <v>962.8</v>
      </c>
      <c r="X91" s="2" t="s">
        <v>39</v>
      </c>
      <c r="Y91" s="2" t="s">
        <v>40</v>
      </c>
    </row>
    <row r="92" spans="1:25" ht="12.75">
      <c r="A92" s="5">
        <v>88</v>
      </c>
      <c r="B92" s="2" t="s">
        <v>354</v>
      </c>
      <c r="C92" s="6" t="s">
        <v>355</v>
      </c>
      <c r="D92" s="2" t="s">
        <v>78</v>
      </c>
      <c r="E92" s="2" t="s">
        <v>56</v>
      </c>
      <c r="F92" s="7">
        <v>43851</v>
      </c>
      <c r="G92" s="2"/>
      <c r="H92" s="7">
        <v>43851</v>
      </c>
      <c r="I92" s="8">
        <v>1</v>
      </c>
      <c r="J92" s="9">
        <v>105</v>
      </c>
      <c r="K92" s="9">
        <v>2205</v>
      </c>
      <c r="L92" s="9">
        <v>21</v>
      </c>
      <c r="M92" s="9">
        <v>2205</v>
      </c>
      <c r="N92" s="9">
        <v>21</v>
      </c>
      <c r="O92" s="10" t="s">
        <v>286</v>
      </c>
      <c r="P92" s="9">
        <v>0</v>
      </c>
      <c r="Q92" s="12">
        <v>0</v>
      </c>
      <c r="R92" s="2" t="s">
        <v>286</v>
      </c>
      <c r="S92" s="2" t="s">
        <v>64</v>
      </c>
      <c r="T92" s="11">
        <f>HYPERLINK("https://my.zakupki.prom.ua/cabinet/purchases/state_purchase/view/14660120")</f>
      </c>
      <c r="U92" s="2" t="s">
        <v>37</v>
      </c>
      <c r="V92" s="2" t="s">
        <v>356</v>
      </c>
      <c r="W92" s="9">
        <v>2205</v>
      </c>
      <c r="X92" s="2" t="s">
        <v>39</v>
      </c>
      <c r="Y92" s="2" t="s">
        <v>40</v>
      </c>
    </row>
    <row r="93" spans="1:25" ht="12.75">
      <c r="A93" s="5">
        <v>89</v>
      </c>
      <c r="B93" s="2" t="s">
        <v>357</v>
      </c>
      <c r="C93" s="6" t="s">
        <v>358</v>
      </c>
      <c r="D93" s="2" t="s">
        <v>62</v>
      </c>
      <c r="E93" s="2" t="s">
        <v>56</v>
      </c>
      <c r="F93" s="7">
        <v>43873</v>
      </c>
      <c r="G93" s="2"/>
      <c r="H93" s="7">
        <v>43873</v>
      </c>
      <c r="I93" s="8">
        <v>1</v>
      </c>
      <c r="J93" s="9">
        <v>678.931</v>
      </c>
      <c r="K93" s="9">
        <v>10032.24</v>
      </c>
      <c r="L93" s="9">
        <v>14.776523682082567</v>
      </c>
      <c r="M93" s="9">
        <v>10032.24</v>
      </c>
      <c r="N93" s="9">
        <v>14.776523682082567</v>
      </c>
      <c r="O93" s="10" t="s">
        <v>286</v>
      </c>
      <c r="P93" s="9">
        <v>0</v>
      </c>
      <c r="Q93" s="12">
        <v>0</v>
      </c>
      <c r="R93" s="2" t="s">
        <v>286</v>
      </c>
      <c r="S93" s="2" t="s">
        <v>64</v>
      </c>
      <c r="T93" s="11">
        <f>HYPERLINK("https://my.zakupki.prom.ua/cabinet/purchases/state_purchase/view/15255926")</f>
      </c>
      <c r="U93" s="2" t="s">
        <v>37</v>
      </c>
      <c r="V93" s="2" t="s">
        <v>359</v>
      </c>
      <c r="W93" s="9">
        <v>10032.24</v>
      </c>
      <c r="X93" s="2" t="s">
        <v>39</v>
      </c>
      <c r="Y93" s="2" t="s">
        <v>40</v>
      </c>
    </row>
    <row r="94" spans="1:25" ht="12.75">
      <c r="A94" s="5">
        <v>90</v>
      </c>
      <c r="B94" s="2" t="s">
        <v>360</v>
      </c>
      <c r="C94" s="6" t="s">
        <v>361</v>
      </c>
      <c r="D94" s="2" t="s">
        <v>187</v>
      </c>
      <c r="E94" s="2" t="s">
        <v>56</v>
      </c>
      <c r="F94" s="7">
        <v>43873</v>
      </c>
      <c r="G94" s="2"/>
      <c r="H94" s="7">
        <v>43873</v>
      </c>
      <c r="I94" s="8">
        <v>1</v>
      </c>
      <c r="J94" s="9">
        <v>626.704</v>
      </c>
      <c r="K94" s="9">
        <v>4128.68</v>
      </c>
      <c r="L94" s="9">
        <v>6.587926676708622</v>
      </c>
      <c r="M94" s="9">
        <v>412868</v>
      </c>
      <c r="N94" s="9">
        <v>658.7926676708622</v>
      </c>
      <c r="O94" s="10" t="s">
        <v>286</v>
      </c>
      <c r="P94" s="9">
        <v>-408739.32</v>
      </c>
      <c r="Q94" s="12">
        <v>-9900</v>
      </c>
      <c r="R94" s="2" t="s">
        <v>286</v>
      </c>
      <c r="S94" s="2" t="s">
        <v>64</v>
      </c>
      <c r="T94" s="11">
        <f>HYPERLINK("https://my.zakupki.prom.ua/cabinet/purchases/state_purchase/view/15257503")</f>
      </c>
      <c r="U94" s="2" t="s">
        <v>200</v>
      </c>
      <c r="V94" s="2"/>
      <c r="W94" s="2"/>
      <c r="X94" s="2"/>
      <c r="Y94" s="2"/>
    </row>
    <row r="95" spans="1:25" ht="12.75">
      <c r="A95" s="5">
        <v>91</v>
      </c>
      <c r="B95" s="2" t="s">
        <v>362</v>
      </c>
      <c r="C95" s="6" t="s">
        <v>363</v>
      </c>
      <c r="D95" s="2" t="s">
        <v>187</v>
      </c>
      <c r="E95" s="2" t="s">
        <v>56</v>
      </c>
      <c r="F95" s="7">
        <v>43873</v>
      </c>
      <c r="G95" s="2"/>
      <c r="H95" s="7">
        <v>43873</v>
      </c>
      <c r="I95" s="8">
        <v>1</v>
      </c>
      <c r="J95" s="9">
        <v>626.704</v>
      </c>
      <c r="K95" s="9">
        <v>4128.68</v>
      </c>
      <c r="L95" s="9">
        <v>6.587926676708622</v>
      </c>
      <c r="M95" s="9">
        <v>4128.68</v>
      </c>
      <c r="N95" s="9">
        <v>6.587926676708622</v>
      </c>
      <c r="O95" s="10" t="s">
        <v>286</v>
      </c>
      <c r="P95" s="9">
        <v>0</v>
      </c>
      <c r="Q95" s="12">
        <v>0</v>
      </c>
      <c r="R95" s="2" t="s">
        <v>286</v>
      </c>
      <c r="S95" s="2" t="s">
        <v>64</v>
      </c>
      <c r="T95" s="11">
        <f>HYPERLINK("https://my.zakupki.prom.ua/cabinet/purchases/state_purchase/view/15258485")</f>
      </c>
      <c r="U95" s="2" t="s">
        <v>37</v>
      </c>
      <c r="V95" s="2" t="s">
        <v>364</v>
      </c>
      <c r="W95" s="9">
        <v>4128.68</v>
      </c>
      <c r="X95" s="2" t="s">
        <v>39</v>
      </c>
      <c r="Y95" s="2" t="s">
        <v>40</v>
      </c>
    </row>
    <row r="96" spans="1:25" ht="12.75">
      <c r="A96" s="5">
        <v>92</v>
      </c>
      <c r="B96" s="2" t="s">
        <v>365</v>
      </c>
      <c r="C96" s="6" t="s">
        <v>289</v>
      </c>
      <c r="D96" s="2" t="s">
        <v>366</v>
      </c>
      <c r="E96" s="2" t="s">
        <v>56</v>
      </c>
      <c r="F96" s="7">
        <v>43878</v>
      </c>
      <c r="G96" s="2"/>
      <c r="H96" s="7">
        <v>43878</v>
      </c>
      <c r="I96" s="8">
        <v>1</v>
      </c>
      <c r="J96" s="9">
        <v>12</v>
      </c>
      <c r="K96" s="9">
        <v>2998.8</v>
      </c>
      <c r="L96" s="9">
        <v>249.9</v>
      </c>
      <c r="M96" s="9">
        <v>2998.8</v>
      </c>
      <c r="N96" s="9">
        <v>249.9</v>
      </c>
      <c r="O96" s="10" t="s">
        <v>204</v>
      </c>
      <c r="P96" s="9">
        <v>0</v>
      </c>
      <c r="Q96" s="12">
        <v>0</v>
      </c>
      <c r="R96" s="2" t="s">
        <v>204</v>
      </c>
      <c r="S96" s="2" t="s">
        <v>91</v>
      </c>
      <c r="T96" s="11">
        <f>HYPERLINK("https://my.zakupki.prom.ua/cabinet/purchases/state_purchase/view/15328899")</f>
      </c>
      <c r="U96" s="2" t="s">
        <v>37</v>
      </c>
      <c r="V96" s="2" t="s">
        <v>290</v>
      </c>
      <c r="W96" s="9">
        <v>2998.8</v>
      </c>
      <c r="X96" s="2" t="s">
        <v>39</v>
      </c>
      <c r="Y96" s="2" t="s">
        <v>40</v>
      </c>
    </row>
    <row r="97" spans="1:25" ht="12.75">
      <c r="A97" s="5">
        <v>93</v>
      </c>
      <c r="B97" s="2" t="s">
        <v>367</v>
      </c>
      <c r="C97" s="6" t="s">
        <v>368</v>
      </c>
      <c r="D97" s="2" t="s">
        <v>275</v>
      </c>
      <c r="E97" s="2" t="s">
        <v>56</v>
      </c>
      <c r="F97" s="7">
        <v>43879</v>
      </c>
      <c r="G97" s="2"/>
      <c r="H97" s="7">
        <v>43879</v>
      </c>
      <c r="I97" s="8">
        <v>1</v>
      </c>
      <c r="J97" s="9">
        <v>1</v>
      </c>
      <c r="K97" s="9">
        <v>86633</v>
      </c>
      <c r="L97" s="9">
        <v>86633</v>
      </c>
      <c r="M97" s="9">
        <v>86633</v>
      </c>
      <c r="N97" s="9">
        <v>86633</v>
      </c>
      <c r="O97" s="10" t="s">
        <v>255</v>
      </c>
      <c r="P97" s="9">
        <v>0</v>
      </c>
      <c r="Q97" s="12">
        <v>0</v>
      </c>
      <c r="R97" s="2" t="s">
        <v>255</v>
      </c>
      <c r="S97" s="2" t="s">
        <v>256</v>
      </c>
      <c r="T97" s="11">
        <f>HYPERLINK("https://my.zakupki.prom.ua/cabinet/purchases/state_purchase/view/15355330")</f>
      </c>
      <c r="U97" s="2" t="s">
        <v>37</v>
      </c>
      <c r="V97" s="2" t="s">
        <v>369</v>
      </c>
      <c r="W97" s="9">
        <v>86633</v>
      </c>
      <c r="X97" s="2" t="s">
        <v>39</v>
      </c>
      <c r="Y97" s="2" t="s">
        <v>40</v>
      </c>
    </row>
    <row r="98" spans="1:25" ht="12.75">
      <c r="A98" s="5">
        <v>94</v>
      </c>
      <c r="B98" s="2" t="s">
        <v>370</v>
      </c>
      <c r="C98" s="6" t="s">
        <v>371</v>
      </c>
      <c r="D98" s="2" t="s">
        <v>101</v>
      </c>
      <c r="E98" s="2" t="s">
        <v>56</v>
      </c>
      <c r="F98" s="7">
        <v>43882</v>
      </c>
      <c r="G98" s="2"/>
      <c r="H98" s="7">
        <v>43882</v>
      </c>
      <c r="I98" s="8">
        <v>1</v>
      </c>
      <c r="J98" s="9">
        <v>2</v>
      </c>
      <c r="K98" s="9">
        <v>943.2</v>
      </c>
      <c r="L98" s="9">
        <v>471.6</v>
      </c>
      <c r="M98" s="9">
        <v>943.2</v>
      </c>
      <c r="N98" s="9">
        <v>471.6</v>
      </c>
      <c r="O98" s="10" t="s">
        <v>297</v>
      </c>
      <c r="P98" s="9">
        <v>0</v>
      </c>
      <c r="Q98" s="12">
        <v>0</v>
      </c>
      <c r="R98" s="2" t="s">
        <v>297</v>
      </c>
      <c r="S98" s="2" t="s">
        <v>103</v>
      </c>
      <c r="T98" s="11">
        <f>HYPERLINK("https://my.zakupki.prom.ua/cabinet/purchases/state_purchase/view/15415395")</f>
      </c>
      <c r="U98" s="2" t="s">
        <v>37</v>
      </c>
      <c r="V98" s="2" t="s">
        <v>372</v>
      </c>
      <c r="W98" s="9">
        <v>943.2</v>
      </c>
      <c r="X98" s="2" t="s">
        <v>39</v>
      </c>
      <c r="Y98" s="2" t="s">
        <v>40</v>
      </c>
    </row>
    <row r="99" spans="1:25" ht="12.75">
      <c r="A99" s="5">
        <v>95</v>
      </c>
      <c r="B99" s="2" t="s">
        <v>373</v>
      </c>
      <c r="C99" s="6" t="s">
        <v>374</v>
      </c>
      <c r="D99" s="2" t="s">
        <v>101</v>
      </c>
      <c r="E99" s="2" t="s">
        <v>56</v>
      </c>
      <c r="F99" s="7">
        <v>43882</v>
      </c>
      <c r="G99" s="2"/>
      <c r="H99" s="7">
        <v>43882</v>
      </c>
      <c r="I99" s="8">
        <v>1</v>
      </c>
      <c r="J99" s="9">
        <v>1</v>
      </c>
      <c r="K99" s="9">
        <v>471.6</v>
      </c>
      <c r="L99" s="9">
        <v>471.6</v>
      </c>
      <c r="M99" s="9">
        <v>471.6</v>
      </c>
      <c r="N99" s="9">
        <v>471.6</v>
      </c>
      <c r="O99" s="10" t="s">
        <v>297</v>
      </c>
      <c r="P99" s="9">
        <v>0</v>
      </c>
      <c r="Q99" s="12">
        <v>0</v>
      </c>
      <c r="R99" s="2" t="s">
        <v>297</v>
      </c>
      <c r="S99" s="2" t="s">
        <v>103</v>
      </c>
      <c r="T99" s="11">
        <f>HYPERLINK("https://my.zakupki.prom.ua/cabinet/purchases/state_purchase/view/15417830")</f>
      </c>
      <c r="U99" s="2" t="s">
        <v>37</v>
      </c>
      <c r="V99" s="2" t="s">
        <v>375</v>
      </c>
      <c r="W99" s="9">
        <v>471.6</v>
      </c>
      <c r="X99" s="2" t="s">
        <v>39</v>
      </c>
      <c r="Y99" s="2" t="s">
        <v>40</v>
      </c>
    </row>
    <row r="100" spans="1:25" ht="12.75">
      <c r="A100" s="5">
        <v>96</v>
      </c>
      <c r="B100" s="2" t="s">
        <v>376</v>
      </c>
      <c r="C100" s="6" t="s">
        <v>377</v>
      </c>
      <c r="D100" s="2" t="s">
        <v>378</v>
      </c>
      <c r="E100" s="2" t="s">
        <v>56</v>
      </c>
      <c r="F100" s="7">
        <v>43886</v>
      </c>
      <c r="G100" s="2"/>
      <c r="H100" s="7">
        <v>43886</v>
      </c>
      <c r="I100" s="8">
        <v>1</v>
      </c>
      <c r="J100" s="9">
        <v>1</v>
      </c>
      <c r="K100" s="9">
        <v>1150</v>
      </c>
      <c r="L100" s="9">
        <v>1150</v>
      </c>
      <c r="M100" s="9">
        <v>1150</v>
      </c>
      <c r="N100" s="9">
        <v>1150</v>
      </c>
      <c r="O100" s="10" t="s">
        <v>379</v>
      </c>
      <c r="P100" s="9">
        <v>0</v>
      </c>
      <c r="Q100" s="12">
        <v>0</v>
      </c>
      <c r="R100" s="2" t="s">
        <v>379</v>
      </c>
      <c r="S100" s="2" t="s">
        <v>165</v>
      </c>
      <c r="T100" s="11">
        <f>HYPERLINK("https://my.zakupki.prom.ua/cabinet/purchases/state_purchase/view/15469438")</f>
      </c>
      <c r="U100" s="2" t="s">
        <v>37</v>
      </c>
      <c r="V100" s="2" t="s">
        <v>380</v>
      </c>
      <c r="W100" s="9">
        <v>1150</v>
      </c>
      <c r="X100" s="2" t="s">
        <v>39</v>
      </c>
      <c r="Y100" s="2" t="s">
        <v>40</v>
      </c>
    </row>
    <row r="101" spans="1:25" ht="12.75">
      <c r="A101" s="5">
        <v>97</v>
      </c>
      <c r="B101" s="2" t="s">
        <v>381</v>
      </c>
      <c r="C101" s="6" t="s">
        <v>253</v>
      </c>
      <c r="D101" s="2" t="s">
        <v>254</v>
      </c>
      <c r="E101" s="2" t="s">
        <v>56</v>
      </c>
      <c r="F101" s="7">
        <v>43936</v>
      </c>
      <c r="G101" s="2"/>
      <c r="H101" s="7">
        <v>43936</v>
      </c>
      <c r="I101" s="8">
        <v>1</v>
      </c>
      <c r="J101" s="9">
        <v>1</v>
      </c>
      <c r="K101" s="9">
        <v>291</v>
      </c>
      <c r="L101" s="9">
        <v>291</v>
      </c>
      <c r="M101" s="9">
        <v>291</v>
      </c>
      <c r="N101" s="9">
        <v>291</v>
      </c>
      <c r="O101" s="10" t="s">
        <v>255</v>
      </c>
      <c r="P101" s="9">
        <v>0</v>
      </c>
      <c r="Q101" s="12">
        <v>0</v>
      </c>
      <c r="R101" s="2" t="s">
        <v>255</v>
      </c>
      <c r="S101" s="2" t="s">
        <v>256</v>
      </c>
      <c r="T101" s="11">
        <f>HYPERLINK("https://my.zakupki.prom.ua/cabinet/purchases/state_purchase/view/16296327")</f>
      </c>
      <c r="U101" s="2" t="s">
        <v>37</v>
      </c>
      <c r="V101" s="2" t="s">
        <v>382</v>
      </c>
      <c r="W101" s="9">
        <v>291</v>
      </c>
      <c r="X101" s="2" t="s">
        <v>39</v>
      </c>
      <c r="Y101" s="2" t="s">
        <v>40</v>
      </c>
    </row>
    <row r="102" spans="1:25" ht="12.75">
      <c r="A102" s="5">
        <v>98</v>
      </c>
      <c r="B102" s="2" t="s">
        <v>383</v>
      </c>
      <c r="C102" s="6" t="s">
        <v>384</v>
      </c>
      <c r="D102" s="2" t="s">
        <v>72</v>
      </c>
      <c r="E102" s="2" t="s">
        <v>56</v>
      </c>
      <c r="F102" s="7">
        <v>43938</v>
      </c>
      <c r="G102" s="2"/>
      <c r="H102" s="7">
        <v>43938</v>
      </c>
      <c r="I102" s="8">
        <v>1</v>
      </c>
      <c r="J102" s="9">
        <v>1407</v>
      </c>
      <c r="K102" s="9">
        <v>9751.8</v>
      </c>
      <c r="L102" s="9">
        <v>6.93091684434968</v>
      </c>
      <c r="M102" s="9">
        <v>9751.8</v>
      </c>
      <c r="N102" s="9">
        <v>6.93091684434968</v>
      </c>
      <c r="O102" s="10" t="s">
        <v>292</v>
      </c>
      <c r="P102" s="9">
        <v>0</v>
      </c>
      <c r="Q102" s="12">
        <v>0</v>
      </c>
      <c r="R102" s="2" t="s">
        <v>292</v>
      </c>
      <c r="S102" s="2" t="s">
        <v>293</v>
      </c>
      <c r="T102" s="11">
        <f>HYPERLINK("https://my.zakupki.prom.ua/cabinet/purchases/state_purchase/view/16392525")</f>
      </c>
      <c r="U102" s="2" t="s">
        <v>37</v>
      </c>
      <c r="V102" s="2" t="s">
        <v>294</v>
      </c>
      <c r="W102" s="9">
        <v>9751.8</v>
      </c>
      <c r="X102" s="2" t="s">
        <v>39</v>
      </c>
      <c r="Y102" s="2" t="s">
        <v>40</v>
      </c>
    </row>
    <row r="103" spans="1:25" ht="12.75">
      <c r="A103" s="5">
        <v>99</v>
      </c>
      <c r="B103" s="2" t="s">
        <v>385</v>
      </c>
      <c r="C103" s="6" t="s">
        <v>386</v>
      </c>
      <c r="D103" s="2" t="s">
        <v>83</v>
      </c>
      <c r="E103" s="2" t="s">
        <v>56</v>
      </c>
      <c r="F103" s="7">
        <v>43951</v>
      </c>
      <c r="G103" s="2"/>
      <c r="H103" s="7">
        <v>43951</v>
      </c>
      <c r="I103" s="8">
        <v>1</v>
      </c>
      <c r="J103" s="9">
        <v>1</v>
      </c>
      <c r="K103" s="9">
        <v>5190.24</v>
      </c>
      <c r="L103" s="9">
        <v>5190.24</v>
      </c>
      <c r="M103" s="9">
        <v>5190.24</v>
      </c>
      <c r="N103" s="9">
        <v>5190.24</v>
      </c>
      <c r="O103" s="10" t="s">
        <v>217</v>
      </c>
      <c r="P103" s="9">
        <v>0</v>
      </c>
      <c r="Q103" s="12">
        <v>0</v>
      </c>
      <c r="R103" s="2" t="s">
        <v>217</v>
      </c>
      <c r="S103" s="2" t="s">
        <v>85</v>
      </c>
      <c r="T103" s="11">
        <f>HYPERLINK("https://my.zakupki.prom.ua/cabinet/purchases/state_purchase/view/16515437")</f>
      </c>
      <c r="U103" s="2" t="s">
        <v>37</v>
      </c>
      <c r="V103" s="2" t="s">
        <v>86</v>
      </c>
      <c r="W103" s="9">
        <v>5190.24</v>
      </c>
      <c r="X103" s="2" t="s">
        <v>39</v>
      </c>
      <c r="Y103" s="2" t="s">
        <v>40</v>
      </c>
    </row>
    <row r="104" spans="1:25" ht="12.75">
      <c r="A104" s="5">
        <v>100</v>
      </c>
      <c r="B104" s="2" t="s">
        <v>387</v>
      </c>
      <c r="C104" s="6" t="s">
        <v>388</v>
      </c>
      <c r="D104" s="2" t="s">
        <v>389</v>
      </c>
      <c r="E104" s="2" t="s">
        <v>56</v>
      </c>
      <c r="F104" s="7">
        <v>43973</v>
      </c>
      <c r="G104" s="2"/>
      <c r="H104" s="7">
        <v>43973</v>
      </c>
      <c r="I104" s="8">
        <v>1</v>
      </c>
      <c r="J104" s="9">
        <v>47</v>
      </c>
      <c r="K104" s="9">
        <v>1078</v>
      </c>
      <c r="L104" s="9">
        <v>22.93617021276596</v>
      </c>
      <c r="M104" s="9">
        <v>1078</v>
      </c>
      <c r="N104" s="9">
        <v>22.93617021276596</v>
      </c>
      <c r="O104" s="10" t="s">
        <v>390</v>
      </c>
      <c r="P104" s="9">
        <v>0</v>
      </c>
      <c r="Q104" s="12">
        <v>0</v>
      </c>
      <c r="R104" s="2" t="s">
        <v>390</v>
      </c>
      <c r="S104" s="2" t="s">
        <v>109</v>
      </c>
      <c r="T104" s="11">
        <f>HYPERLINK("https://my.zakupki.prom.ua/cabinet/purchases/state_purchase/view/16814636")</f>
      </c>
      <c r="U104" s="2" t="s">
        <v>37</v>
      </c>
      <c r="V104" s="2" t="s">
        <v>59</v>
      </c>
      <c r="W104" s="9">
        <v>1078</v>
      </c>
      <c r="X104" s="2" t="s">
        <v>39</v>
      </c>
      <c r="Y104" s="2" t="s">
        <v>40</v>
      </c>
    </row>
    <row r="105" spans="1:25" ht="12.75">
      <c r="A105" s="5">
        <v>101</v>
      </c>
      <c r="B105" s="2" t="s">
        <v>391</v>
      </c>
      <c r="C105" s="6" t="s">
        <v>330</v>
      </c>
      <c r="D105" s="2" t="s">
        <v>135</v>
      </c>
      <c r="E105" s="2" t="s">
        <v>56</v>
      </c>
      <c r="F105" s="7">
        <v>43991</v>
      </c>
      <c r="G105" s="2"/>
      <c r="H105" s="7">
        <v>43991</v>
      </c>
      <c r="I105" s="8">
        <v>1</v>
      </c>
      <c r="J105" s="9">
        <v>1</v>
      </c>
      <c r="K105" s="9">
        <v>1140</v>
      </c>
      <c r="L105" s="9">
        <v>1140</v>
      </c>
      <c r="M105" s="9">
        <v>1140</v>
      </c>
      <c r="N105" s="9">
        <v>1140</v>
      </c>
      <c r="O105" s="10" t="s">
        <v>269</v>
      </c>
      <c r="P105" s="9">
        <v>0</v>
      </c>
      <c r="Q105" s="12">
        <v>0</v>
      </c>
      <c r="R105" s="2" t="s">
        <v>269</v>
      </c>
      <c r="S105" s="2" t="s">
        <v>137</v>
      </c>
      <c r="T105" s="11">
        <f>HYPERLINK("https://my.zakupki.prom.ua/cabinet/purchases/state_purchase/view/17107474")</f>
      </c>
      <c r="U105" s="2" t="s">
        <v>37</v>
      </c>
      <c r="V105" s="2" t="s">
        <v>392</v>
      </c>
      <c r="W105" s="9">
        <v>1140</v>
      </c>
      <c r="X105" s="2" t="s">
        <v>39</v>
      </c>
      <c r="Y105" s="2" t="s">
        <v>40</v>
      </c>
    </row>
    <row r="106" spans="1:25" ht="12.75">
      <c r="A106" s="5">
        <v>102</v>
      </c>
      <c r="B106" s="2" t="s">
        <v>393</v>
      </c>
      <c r="C106" s="6" t="s">
        <v>307</v>
      </c>
      <c r="D106" s="2" t="s">
        <v>394</v>
      </c>
      <c r="E106" s="2" t="s">
        <v>56</v>
      </c>
      <c r="F106" s="7">
        <v>44000</v>
      </c>
      <c r="G106" s="2"/>
      <c r="H106" s="7">
        <v>44000</v>
      </c>
      <c r="I106" s="8">
        <v>1</v>
      </c>
      <c r="J106" s="9">
        <v>58</v>
      </c>
      <c r="K106" s="9">
        <v>644</v>
      </c>
      <c r="L106" s="9">
        <v>11.10344827586207</v>
      </c>
      <c r="M106" s="9">
        <v>644</v>
      </c>
      <c r="N106" s="9">
        <v>11.10344827586207</v>
      </c>
      <c r="O106" s="10" t="s">
        <v>395</v>
      </c>
      <c r="P106" s="9">
        <v>0</v>
      </c>
      <c r="Q106" s="12">
        <v>0</v>
      </c>
      <c r="R106" s="2" t="s">
        <v>395</v>
      </c>
      <c r="S106" s="2" t="s">
        <v>221</v>
      </c>
      <c r="T106" s="11">
        <f>HYPERLINK("https://my.zakupki.prom.ua/cabinet/purchases/state_purchase/view/17332106")</f>
      </c>
      <c r="U106" s="2" t="s">
        <v>37</v>
      </c>
      <c r="V106" s="2" t="s">
        <v>59</v>
      </c>
      <c r="W106" s="9">
        <v>644</v>
      </c>
      <c r="X106" s="2" t="s">
        <v>39</v>
      </c>
      <c r="Y106" s="2" t="s">
        <v>40</v>
      </c>
    </row>
    <row r="107" spans="1:25" ht="12.75">
      <c r="A107" s="5">
        <v>103</v>
      </c>
      <c r="B107" s="2" t="s">
        <v>396</v>
      </c>
      <c r="C107" s="6" t="s">
        <v>397</v>
      </c>
      <c r="D107" s="2" t="s">
        <v>398</v>
      </c>
      <c r="E107" s="2" t="s">
        <v>29</v>
      </c>
      <c r="F107" s="7">
        <v>44018</v>
      </c>
      <c r="G107" s="2"/>
      <c r="H107" s="7">
        <v>44028</v>
      </c>
      <c r="I107" s="8">
        <v>0</v>
      </c>
      <c r="J107" s="9">
        <v>2</v>
      </c>
      <c r="K107" s="9">
        <v>32000</v>
      </c>
      <c r="L107" s="9">
        <v>16000</v>
      </c>
      <c r="M107" s="5">
        <v>0</v>
      </c>
      <c r="N107" s="2"/>
      <c r="O107" s="10"/>
      <c r="P107" s="2"/>
      <c r="Q107" s="2"/>
      <c r="R107" s="2"/>
      <c r="S107" s="2"/>
      <c r="T107" s="11">
        <f>HYPERLINK("https://my.zakupki.prom.ua/cabinet/purchases/state_purchase/view/17671092")</f>
      </c>
      <c r="U107" s="2" t="s">
        <v>30</v>
      </c>
      <c r="V107" s="2"/>
      <c r="W107" s="2"/>
      <c r="X107" s="2"/>
      <c r="Y107" s="2"/>
    </row>
    <row r="108" spans="1:25" ht="12.75">
      <c r="A108" s="5">
        <v>104</v>
      </c>
      <c r="B108" s="2" t="s">
        <v>399</v>
      </c>
      <c r="C108" s="6" t="s">
        <v>397</v>
      </c>
      <c r="D108" s="2" t="s">
        <v>398</v>
      </c>
      <c r="E108" s="2" t="s">
        <v>29</v>
      </c>
      <c r="F108" s="7">
        <v>44032</v>
      </c>
      <c r="G108" s="2"/>
      <c r="H108" s="7">
        <v>44042</v>
      </c>
      <c r="I108" s="8">
        <v>0</v>
      </c>
      <c r="J108" s="9">
        <v>2</v>
      </c>
      <c r="K108" s="9">
        <v>32000</v>
      </c>
      <c r="L108" s="9">
        <v>16000</v>
      </c>
      <c r="M108" s="5">
        <v>0</v>
      </c>
      <c r="N108" s="2"/>
      <c r="O108" s="10"/>
      <c r="P108" s="2"/>
      <c r="Q108" s="2"/>
      <c r="R108" s="2"/>
      <c r="S108" s="2"/>
      <c r="T108" s="11">
        <f>HYPERLINK("https://my.zakupki.prom.ua/cabinet/purchases/state_purchase/view/17976521")</f>
      </c>
      <c r="U108" s="2" t="s">
        <v>30</v>
      </c>
      <c r="V108" s="2"/>
      <c r="W108" s="2"/>
      <c r="X108" s="2"/>
      <c r="Y108" s="2"/>
    </row>
    <row r="109" spans="1:25" ht="12.75">
      <c r="A109" s="5">
        <v>105</v>
      </c>
      <c r="B109" s="2" t="s">
        <v>400</v>
      </c>
      <c r="C109" s="6" t="s">
        <v>401</v>
      </c>
      <c r="D109" s="2" t="s">
        <v>402</v>
      </c>
      <c r="E109" s="2" t="s">
        <v>56</v>
      </c>
      <c r="F109" s="7">
        <v>44039</v>
      </c>
      <c r="G109" s="2"/>
      <c r="H109" s="7">
        <v>44039</v>
      </c>
      <c r="I109" s="8">
        <v>1</v>
      </c>
      <c r="J109" s="9">
        <v>23471</v>
      </c>
      <c r="K109" s="9">
        <v>62902.28</v>
      </c>
      <c r="L109" s="9">
        <v>2.68</v>
      </c>
      <c r="M109" s="9">
        <v>62902.28</v>
      </c>
      <c r="N109" s="9">
        <v>2.68</v>
      </c>
      <c r="O109" s="10" t="s">
        <v>292</v>
      </c>
      <c r="P109" s="9">
        <v>0</v>
      </c>
      <c r="Q109" s="12">
        <v>0</v>
      </c>
      <c r="R109" s="2" t="s">
        <v>292</v>
      </c>
      <c r="S109" s="2" t="s">
        <v>293</v>
      </c>
      <c r="T109" s="11">
        <f>HYPERLINK("https://my.zakupki.prom.ua/cabinet/purchases/state_purchase/view/18131656")</f>
      </c>
      <c r="U109" s="2" t="s">
        <v>37</v>
      </c>
      <c r="V109" s="2" t="s">
        <v>294</v>
      </c>
      <c r="W109" s="9">
        <v>62902.28</v>
      </c>
      <c r="X109" s="2" t="s">
        <v>39</v>
      </c>
      <c r="Y109" s="2" t="s">
        <v>40</v>
      </c>
    </row>
    <row r="110" spans="1:25" ht="12.75">
      <c r="A110" s="5">
        <v>106</v>
      </c>
      <c r="B110" s="2" t="s">
        <v>403</v>
      </c>
      <c r="C110" s="6" t="s">
        <v>404</v>
      </c>
      <c r="D110" s="2" t="s">
        <v>210</v>
      </c>
      <c r="E110" s="2" t="s">
        <v>56</v>
      </c>
      <c r="F110" s="7">
        <v>44063</v>
      </c>
      <c r="G110" s="2"/>
      <c r="H110" s="7">
        <v>44063</v>
      </c>
      <c r="I110" s="8">
        <v>1</v>
      </c>
      <c r="J110" s="9">
        <v>10</v>
      </c>
      <c r="K110" s="9">
        <v>1300</v>
      </c>
      <c r="L110" s="9">
        <v>130</v>
      </c>
      <c r="M110" s="9">
        <v>1300</v>
      </c>
      <c r="N110" s="9">
        <v>130</v>
      </c>
      <c r="O110" s="10" t="s">
        <v>211</v>
      </c>
      <c r="P110" s="9">
        <v>0</v>
      </c>
      <c r="Q110" s="12">
        <v>0</v>
      </c>
      <c r="R110" s="2" t="s">
        <v>211</v>
      </c>
      <c r="S110" s="2" t="s">
        <v>212</v>
      </c>
      <c r="T110" s="11">
        <f>HYPERLINK("https://my.zakupki.prom.ua/cabinet/purchases/state_purchase/view/18694671")</f>
      </c>
      <c r="U110" s="2" t="s">
        <v>37</v>
      </c>
      <c r="V110" s="2" t="s">
        <v>59</v>
      </c>
      <c r="W110" s="9">
        <v>1300</v>
      </c>
      <c r="X110" s="2" t="s">
        <v>39</v>
      </c>
      <c r="Y110" s="2" t="s">
        <v>40</v>
      </c>
    </row>
    <row r="111" spans="1:25" ht="12.75">
      <c r="A111" s="5">
        <v>107</v>
      </c>
      <c r="B111" s="2" t="s">
        <v>405</v>
      </c>
      <c r="C111" s="6" t="s">
        <v>406</v>
      </c>
      <c r="D111" s="2" t="s">
        <v>407</v>
      </c>
      <c r="E111" s="2" t="s">
        <v>56</v>
      </c>
      <c r="F111" s="7">
        <v>44069</v>
      </c>
      <c r="G111" s="2"/>
      <c r="H111" s="7">
        <v>44069</v>
      </c>
      <c r="I111" s="8">
        <v>1</v>
      </c>
      <c r="J111" s="9">
        <v>2</v>
      </c>
      <c r="K111" s="9">
        <v>2430</v>
      </c>
      <c r="L111" s="9">
        <v>1215</v>
      </c>
      <c r="M111" s="9">
        <v>2430</v>
      </c>
      <c r="N111" s="9">
        <v>1215</v>
      </c>
      <c r="O111" s="10" t="s">
        <v>408</v>
      </c>
      <c r="P111" s="9">
        <v>0</v>
      </c>
      <c r="Q111" s="12">
        <v>0</v>
      </c>
      <c r="R111" s="2" t="s">
        <v>408</v>
      </c>
      <c r="S111" s="2" t="s">
        <v>409</v>
      </c>
      <c r="T111" s="11">
        <f>HYPERLINK("https://my.zakupki.prom.ua/cabinet/purchases/state_purchase/view/18790715")</f>
      </c>
      <c r="U111" s="2" t="s">
        <v>37</v>
      </c>
      <c r="V111" s="2" t="s">
        <v>410</v>
      </c>
      <c r="W111" s="9">
        <v>2430</v>
      </c>
      <c r="X111" s="2" t="s">
        <v>39</v>
      </c>
      <c r="Y111" s="2" t="s">
        <v>40</v>
      </c>
    </row>
    <row r="112" spans="1:25" ht="12.75">
      <c r="A112" s="5">
        <v>108</v>
      </c>
      <c r="B112" s="2" t="s">
        <v>411</v>
      </c>
      <c r="C112" s="6" t="s">
        <v>412</v>
      </c>
      <c r="D112" s="2" t="s">
        <v>95</v>
      </c>
      <c r="E112" s="2" t="s">
        <v>56</v>
      </c>
      <c r="F112" s="7">
        <v>44074</v>
      </c>
      <c r="G112" s="2"/>
      <c r="H112" s="7">
        <v>44074</v>
      </c>
      <c r="I112" s="8">
        <v>1</v>
      </c>
      <c r="J112" s="9">
        <v>1</v>
      </c>
      <c r="K112" s="9">
        <v>49900</v>
      </c>
      <c r="L112" s="9">
        <v>49900</v>
      </c>
      <c r="M112" s="9">
        <v>49900</v>
      </c>
      <c r="N112" s="9">
        <v>49900</v>
      </c>
      <c r="O112" s="10" t="s">
        <v>413</v>
      </c>
      <c r="P112" s="9">
        <v>0</v>
      </c>
      <c r="Q112" s="12">
        <v>0</v>
      </c>
      <c r="R112" s="2" t="s">
        <v>413</v>
      </c>
      <c r="S112" s="2" t="s">
        <v>414</v>
      </c>
      <c r="T112" s="11">
        <f>HYPERLINK("https://my.zakupki.prom.ua/cabinet/purchases/state_purchase/view/18894259")</f>
      </c>
      <c r="U112" s="2" t="s">
        <v>37</v>
      </c>
      <c r="V112" s="2" t="s">
        <v>415</v>
      </c>
      <c r="W112" s="9">
        <v>49900</v>
      </c>
      <c r="X112" s="2" t="s">
        <v>39</v>
      </c>
      <c r="Y112" s="2" t="s">
        <v>40</v>
      </c>
    </row>
    <row r="113" spans="1:25" ht="12.75">
      <c r="A113" s="5">
        <v>109</v>
      </c>
      <c r="B113" s="2" t="s">
        <v>416</v>
      </c>
      <c r="C113" s="6" t="s">
        <v>417</v>
      </c>
      <c r="D113" s="2" t="s">
        <v>418</v>
      </c>
      <c r="E113" s="2" t="s">
        <v>56</v>
      </c>
      <c r="F113" s="7">
        <v>44074</v>
      </c>
      <c r="G113" s="2"/>
      <c r="H113" s="7">
        <v>44074</v>
      </c>
      <c r="I113" s="8">
        <v>1</v>
      </c>
      <c r="J113" s="9">
        <v>9</v>
      </c>
      <c r="K113" s="9">
        <v>1890</v>
      </c>
      <c r="L113" s="9">
        <v>210</v>
      </c>
      <c r="M113" s="9">
        <v>1890</v>
      </c>
      <c r="N113" s="9">
        <v>210</v>
      </c>
      <c r="O113" s="10" t="s">
        <v>419</v>
      </c>
      <c r="P113" s="9">
        <v>0</v>
      </c>
      <c r="Q113" s="12">
        <v>0</v>
      </c>
      <c r="R113" s="2" t="s">
        <v>419</v>
      </c>
      <c r="S113" s="2" t="s">
        <v>420</v>
      </c>
      <c r="T113" s="11">
        <f>HYPERLINK("https://my.zakupki.prom.ua/cabinet/purchases/state_purchase/view/18894877")</f>
      </c>
      <c r="U113" s="2" t="s">
        <v>37</v>
      </c>
      <c r="V113" s="2" t="s">
        <v>205</v>
      </c>
      <c r="W113" s="9">
        <v>1890</v>
      </c>
      <c r="X113" s="2" t="s">
        <v>39</v>
      </c>
      <c r="Y113" s="2" t="s">
        <v>40</v>
      </c>
    </row>
    <row r="114" spans="1:25" ht="12.75">
      <c r="A114" s="5">
        <v>110</v>
      </c>
      <c r="B114" s="2" t="s">
        <v>421</v>
      </c>
      <c r="C114" s="6" t="s">
        <v>422</v>
      </c>
      <c r="D114" s="2" t="s">
        <v>423</v>
      </c>
      <c r="E114" s="2" t="s">
        <v>56</v>
      </c>
      <c r="F114" s="7">
        <v>44074</v>
      </c>
      <c r="G114" s="2"/>
      <c r="H114" s="7">
        <v>44074</v>
      </c>
      <c r="I114" s="8">
        <v>1</v>
      </c>
      <c r="J114" s="9">
        <v>114</v>
      </c>
      <c r="K114" s="9">
        <v>1407.9</v>
      </c>
      <c r="L114" s="9">
        <v>12.35</v>
      </c>
      <c r="M114" s="9">
        <v>1407.9</v>
      </c>
      <c r="N114" s="9">
        <v>12.35</v>
      </c>
      <c r="O114" s="10" t="s">
        <v>424</v>
      </c>
      <c r="P114" s="9">
        <v>0</v>
      </c>
      <c r="Q114" s="12">
        <v>0</v>
      </c>
      <c r="R114" s="2" t="s">
        <v>424</v>
      </c>
      <c r="S114" s="2" t="s">
        <v>425</v>
      </c>
      <c r="T114" s="11">
        <f>HYPERLINK("https://my.zakupki.prom.ua/cabinet/purchases/state_purchase/view/18895604")</f>
      </c>
      <c r="U114" s="2" t="s">
        <v>37</v>
      </c>
      <c r="V114" s="2" t="s">
        <v>426</v>
      </c>
      <c r="W114" s="9">
        <v>1407.9</v>
      </c>
      <c r="X114" s="2" t="s">
        <v>39</v>
      </c>
      <c r="Y114" s="2" t="s">
        <v>40</v>
      </c>
    </row>
    <row r="115" spans="1:25" ht="12.75">
      <c r="A115" s="5">
        <v>111</v>
      </c>
      <c r="B115" s="2" t="s">
        <v>427</v>
      </c>
      <c r="C115" s="6" t="s">
        <v>428</v>
      </c>
      <c r="D115" s="2" t="s">
        <v>315</v>
      </c>
      <c r="E115" s="2" t="s">
        <v>56</v>
      </c>
      <c r="F115" s="7">
        <v>44075</v>
      </c>
      <c r="G115" s="2"/>
      <c r="H115" s="7">
        <v>44075</v>
      </c>
      <c r="I115" s="8">
        <v>1</v>
      </c>
      <c r="J115" s="9">
        <v>1</v>
      </c>
      <c r="K115" s="9">
        <v>9393.54</v>
      </c>
      <c r="L115" s="9">
        <v>9393.54</v>
      </c>
      <c r="M115" s="9">
        <v>9393.54</v>
      </c>
      <c r="N115" s="9">
        <v>9393.54</v>
      </c>
      <c r="O115" s="10" t="s">
        <v>429</v>
      </c>
      <c r="P115" s="9">
        <v>0</v>
      </c>
      <c r="Q115" s="12">
        <v>0</v>
      </c>
      <c r="R115" s="2" t="s">
        <v>429</v>
      </c>
      <c r="S115" s="2" t="s">
        <v>430</v>
      </c>
      <c r="T115" s="11">
        <f>HYPERLINK("https://my.zakupki.prom.ua/cabinet/purchases/state_purchase/view/18912570")</f>
      </c>
      <c r="U115" s="2" t="s">
        <v>37</v>
      </c>
      <c r="V115" s="2" t="s">
        <v>59</v>
      </c>
      <c r="W115" s="9">
        <v>9393.54</v>
      </c>
      <c r="X115" s="2" t="s">
        <v>39</v>
      </c>
      <c r="Y115" s="2" t="s">
        <v>40</v>
      </c>
    </row>
    <row r="116" spans="1:25" ht="12.75">
      <c r="A116" s="5">
        <v>112</v>
      </c>
      <c r="B116" s="2" t="s">
        <v>431</v>
      </c>
      <c r="C116" s="6" t="s">
        <v>432</v>
      </c>
      <c r="D116" s="2" t="s">
        <v>433</v>
      </c>
      <c r="E116" s="2" t="s">
        <v>29</v>
      </c>
      <c r="F116" s="7">
        <v>44102</v>
      </c>
      <c r="G116" s="2"/>
      <c r="H116" s="7">
        <v>44111</v>
      </c>
      <c r="I116" s="8">
        <v>0</v>
      </c>
      <c r="J116" s="9">
        <v>2</v>
      </c>
      <c r="K116" s="9">
        <v>12000</v>
      </c>
      <c r="L116" s="9">
        <v>6000</v>
      </c>
      <c r="M116" s="5">
        <v>0</v>
      </c>
      <c r="N116" s="2"/>
      <c r="O116" s="10"/>
      <c r="P116" s="2"/>
      <c r="Q116" s="2"/>
      <c r="R116" s="2"/>
      <c r="S116" s="2"/>
      <c r="T116" s="11">
        <f>HYPERLINK("https://my.zakupki.prom.ua/cabinet/purchases/state_purchase/view/19648462")</f>
      </c>
      <c r="U116" s="2" t="s">
        <v>30</v>
      </c>
      <c r="V116" s="2"/>
      <c r="W116" s="2"/>
      <c r="X116" s="2"/>
      <c r="Y116" s="2"/>
    </row>
    <row r="117" spans="1:25" ht="12.75">
      <c r="A117" s="5">
        <v>113</v>
      </c>
      <c r="B117" s="2" t="s">
        <v>434</v>
      </c>
      <c r="C117" s="6" t="s">
        <v>435</v>
      </c>
      <c r="D117" s="2" t="s">
        <v>263</v>
      </c>
      <c r="E117" s="2" t="s">
        <v>29</v>
      </c>
      <c r="F117" s="7">
        <v>44103</v>
      </c>
      <c r="G117" s="2"/>
      <c r="H117" s="7">
        <v>44112</v>
      </c>
      <c r="I117" s="8">
        <v>0</v>
      </c>
      <c r="J117" s="9">
        <v>3</v>
      </c>
      <c r="K117" s="9">
        <v>30000</v>
      </c>
      <c r="L117" s="9">
        <v>10000</v>
      </c>
      <c r="M117" s="5">
        <v>0</v>
      </c>
      <c r="N117" s="2"/>
      <c r="O117" s="10"/>
      <c r="P117" s="2"/>
      <c r="Q117" s="2"/>
      <c r="R117" s="2"/>
      <c r="S117" s="2"/>
      <c r="T117" s="11">
        <f>HYPERLINK("https://my.zakupki.prom.ua/cabinet/purchases/state_purchase/view/19681483")</f>
      </c>
      <c r="U117" s="2" t="s">
        <v>30</v>
      </c>
      <c r="V117" s="2"/>
      <c r="W117" s="2"/>
      <c r="X117" s="2"/>
      <c r="Y117" s="2"/>
    </row>
    <row r="118" spans="1:25" ht="12.75">
      <c r="A118" s="5">
        <v>114</v>
      </c>
      <c r="B118" s="2" t="s">
        <v>436</v>
      </c>
      <c r="C118" s="6" t="s">
        <v>437</v>
      </c>
      <c r="D118" s="2" t="s">
        <v>433</v>
      </c>
      <c r="E118" s="2" t="s">
        <v>56</v>
      </c>
      <c r="F118" s="7">
        <v>44161</v>
      </c>
      <c r="G118" s="2"/>
      <c r="H118" s="7">
        <v>44161</v>
      </c>
      <c r="I118" s="8">
        <v>1</v>
      </c>
      <c r="J118" s="9">
        <v>2</v>
      </c>
      <c r="K118" s="9">
        <v>1390</v>
      </c>
      <c r="L118" s="9">
        <v>695</v>
      </c>
      <c r="M118" s="9">
        <v>1390</v>
      </c>
      <c r="N118" s="9">
        <v>695</v>
      </c>
      <c r="O118" s="10" t="s">
        <v>438</v>
      </c>
      <c r="P118" s="9">
        <v>0</v>
      </c>
      <c r="Q118" s="12">
        <v>0</v>
      </c>
      <c r="R118" s="2" t="s">
        <v>438</v>
      </c>
      <c r="S118" s="2" t="s">
        <v>439</v>
      </c>
      <c r="T118" s="11">
        <f>HYPERLINK("https://my.zakupki.prom.ua/cabinet/purchases/state_purchase/view/21462295")</f>
      </c>
      <c r="U118" s="2" t="s">
        <v>37</v>
      </c>
      <c r="V118" s="2" t="s">
        <v>59</v>
      </c>
      <c r="W118" s="9">
        <v>1390</v>
      </c>
      <c r="X118" s="2" t="s">
        <v>39</v>
      </c>
      <c r="Y118" s="2" t="s">
        <v>40</v>
      </c>
    </row>
    <row r="119" spans="1:25" ht="12.75">
      <c r="A119" s="5">
        <v>115</v>
      </c>
      <c r="B119" s="2" t="s">
        <v>440</v>
      </c>
      <c r="C119" s="6" t="s">
        <v>441</v>
      </c>
      <c r="D119" s="2" t="s">
        <v>275</v>
      </c>
      <c r="E119" s="2" t="s">
        <v>29</v>
      </c>
      <c r="F119" s="7">
        <v>44169</v>
      </c>
      <c r="G119" s="7">
        <v>44187</v>
      </c>
      <c r="H119" s="7">
        <v>44179</v>
      </c>
      <c r="I119" s="8">
        <v>0</v>
      </c>
      <c r="J119" s="9">
        <v>1</v>
      </c>
      <c r="K119" s="9">
        <v>199600.7</v>
      </c>
      <c r="L119" s="9">
        <v>199600.7</v>
      </c>
      <c r="M119" s="5">
        <v>0</v>
      </c>
      <c r="N119" s="2"/>
      <c r="O119" s="10"/>
      <c r="P119" s="2"/>
      <c r="Q119" s="2"/>
      <c r="R119" s="2"/>
      <c r="S119" s="2"/>
      <c r="T119" s="11">
        <f>HYPERLINK("https://my.zakupki.prom.ua/cabinet/purchases/state_purchase/view/21770473")</f>
      </c>
      <c r="U119" s="2" t="s">
        <v>200</v>
      </c>
      <c r="V119" s="2"/>
      <c r="W119" s="2"/>
      <c r="X119" s="2"/>
      <c r="Y119" s="2"/>
    </row>
    <row r="120" spans="1:25" ht="12.75">
      <c r="A120" s="5">
        <v>116</v>
      </c>
      <c r="B120" s="2" t="s">
        <v>442</v>
      </c>
      <c r="C120" s="6" t="s">
        <v>443</v>
      </c>
      <c r="D120" s="2" t="s">
        <v>72</v>
      </c>
      <c r="E120" s="2" t="s">
        <v>29</v>
      </c>
      <c r="F120" s="7">
        <v>44168</v>
      </c>
      <c r="G120" s="7">
        <v>44180</v>
      </c>
      <c r="H120" s="2"/>
      <c r="I120" s="8">
        <v>1</v>
      </c>
      <c r="J120" s="9">
        <v>47333</v>
      </c>
      <c r="K120" s="9">
        <v>160932.2</v>
      </c>
      <c r="L120" s="9">
        <v>3.4</v>
      </c>
      <c r="M120" s="9">
        <v>160851.15</v>
      </c>
      <c r="N120" s="9">
        <v>3.3982876639976336</v>
      </c>
      <c r="O120" s="10" t="s">
        <v>444</v>
      </c>
      <c r="P120" s="9">
        <v>81.05</v>
      </c>
      <c r="Q120" s="12">
        <v>0.05</v>
      </c>
      <c r="R120" s="2" t="s">
        <v>444</v>
      </c>
      <c r="S120" s="2" t="s">
        <v>293</v>
      </c>
      <c r="T120" s="11">
        <f>HYPERLINK("https://my.zakupki.prom.ua/cabinet/purchases/state_purchase/view/21696357")</f>
      </c>
      <c r="U120" s="2" t="s">
        <v>445</v>
      </c>
      <c r="V120" s="2"/>
      <c r="W120" s="2"/>
      <c r="X120" s="2"/>
      <c r="Y120" s="2"/>
    </row>
    <row r="121" spans="1:25" ht="12.75">
      <c r="A121" s="5">
        <v>117</v>
      </c>
      <c r="B121" s="2" t="s">
        <v>446</v>
      </c>
      <c r="C121" s="6" t="s">
        <v>447</v>
      </c>
      <c r="D121" s="2" t="s">
        <v>398</v>
      </c>
      <c r="E121" s="2" t="s">
        <v>29</v>
      </c>
      <c r="F121" s="7">
        <v>44102</v>
      </c>
      <c r="G121" s="7">
        <v>44111</v>
      </c>
      <c r="H121" s="7">
        <v>44146</v>
      </c>
      <c r="I121" s="8">
        <v>1</v>
      </c>
      <c r="J121" s="9">
        <v>2</v>
      </c>
      <c r="K121" s="9">
        <v>35000</v>
      </c>
      <c r="L121" s="9">
        <v>17500</v>
      </c>
      <c r="M121" s="9">
        <v>33800</v>
      </c>
      <c r="N121" s="9">
        <v>16900</v>
      </c>
      <c r="O121" s="10" t="s">
        <v>448</v>
      </c>
      <c r="P121" s="9">
        <v>1200</v>
      </c>
      <c r="Q121" s="12">
        <v>3.43</v>
      </c>
      <c r="R121" s="2" t="s">
        <v>448</v>
      </c>
      <c r="S121" s="2" t="s">
        <v>449</v>
      </c>
      <c r="T121" s="11">
        <f>HYPERLINK("https://my.zakupki.prom.ua/cabinet/purchases/state_purchase/view/19642829")</f>
      </c>
      <c r="U121" s="2" t="s">
        <v>37</v>
      </c>
      <c r="V121" s="2" t="s">
        <v>59</v>
      </c>
      <c r="W121" s="9">
        <v>33800</v>
      </c>
      <c r="X121" s="2" t="s">
        <v>39</v>
      </c>
      <c r="Y121" s="2" t="s">
        <v>40</v>
      </c>
    </row>
    <row r="122" spans="1:25" ht="12.75">
      <c r="A122" s="5">
        <v>118</v>
      </c>
      <c r="B122" s="2" t="s">
        <v>450</v>
      </c>
      <c r="C122" s="6" t="s">
        <v>451</v>
      </c>
      <c r="D122" s="2" t="s">
        <v>112</v>
      </c>
      <c r="E122" s="2" t="s">
        <v>29</v>
      </c>
      <c r="F122" s="7">
        <v>44028</v>
      </c>
      <c r="G122" s="7">
        <v>44041</v>
      </c>
      <c r="H122" s="7">
        <v>44106</v>
      </c>
      <c r="I122" s="8">
        <v>2</v>
      </c>
      <c r="J122" s="9">
        <v>6</v>
      </c>
      <c r="K122" s="9">
        <v>2500</v>
      </c>
      <c r="L122" s="9">
        <v>416.6666666666667</v>
      </c>
      <c r="M122" s="9">
        <v>1200</v>
      </c>
      <c r="N122" s="9">
        <v>200</v>
      </c>
      <c r="O122" s="10" t="s">
        <v>452</v>
      </c>
      <c r="P122" s="9">
        <v>1300</v>
      </c>
      <c r="Q122" s="12">
        <v>52</v>
      </c>
      <c r="R122" s="2" t="s">
        <v>452</v>
      </c>
      <c r="S122" s="2" t="s">
        <v>453</v>
      </c>
      <c r="T122" s="11">
        <f>HYPERLINK("https://my.zakupki.prom.ua/cabinet/purchases/state_purchase/view/17918772")</f>
      </c>
      <c r="U122" s="2" t="s">
        <v>37</v>
      </c>
      <c r="V122" s="2" t="s">
        <v>59</v>
      </c>
      <c r="W122" s="9">
        <v>1200</v>
      </c>
      <c r="X122" s="2" t="s">
        <v>39</v>
      </c>
      <c r="Y122" s="2" t="s">
        <v>40</v>
      </c>
    </row>
    <row r="123" spans="1:25" ht="12.75">
      <c r="A123" s="5">
        <v>119</v>
      </c>
      <c r="B123" s="2" t="s">
        <v>454</v>
      </c>
      <c r="C123" s="6" t="s">
        <v>455</v>
      </c>
      <c r="D123" s="2" t="s">
        <v>72</v>
      </c>
      <c r="E123" s="2" t="s">
        <v>29</v>
      </c>
      <c r="F123" s="7">
        <v>43984</v>
      </c>
      <c r="G123" s="7">
        <v>43994</v>
      </c>
      <c r="H123" s="7">
        <v>44012</v>
      </c>
      <c r="I123" s="8">
        <v>1</v>
      </c>
      <c r="J123" s="9">
        <v>23471</v>
      </c>
      <c r="K123" s="9">
        <v>63841.12</v>
      </c>
      <c r="L123" s="9">
        <v>2.72</v>
      </c>
      <c r="M123" s="9">
        <v>62902.28</v>
      </c>
      <c r="N123" s="9">
        <v>2.68</v>
      </c>
      <c r="O123" s="10" t="s">
        <v>444</v>
      </c>
      <c r="P123" s="9">
        <v>938.84</v>
      </c>
      <c r="Q123" s="12">
        <v>1.47</v>
      </c>
      <c r="R123" s="2" t="s">
        <v>444</v>
      </c>
      <c r="S123" s="2" t="s">
        <v>293</v>
      </c>
      <c r="T123" s="11">
        <f>HYPERLINK("https://my.zakupki.prom.ua/cabinet/purchases/state_purchase/view/16979948")</f>
      </c>
      <c r="U123" s="2" t="s">
        <v>37</v>
      </c>
      <c r="V123" s="2" t="s">
        <v>294</v>
      </c>
      <c r="W123" s="9">
        <v>62902.28</v>
      </c>
      <c r="X123" s="2" t="s">
        <v>39</v>
      </c>
      <c r="Y123" s="2" t="s">
        <v>341</v>
      </c>
    </row>
    <row r="124" spans="1:25" ht="12.75">
      <c r="A124" s="5">
        <v>120</v>
      </c>
      <c r="B124" s="2" t="s">
        <v>456</v>
      </c>
      <c r="C124" s="6" t="s">
        <v>457</v>
      </c>
      <c r="D124" s="2" t="s">
        <v>458</v>
      </c>
      <c r="E124" s="2" t="s">
        <v>29</v>
      </c>
      <c r="F124" s="7">
        <v>43957</v>
      </c>
      <c r="G124" s="7">
        <v>43969</v>
      </c>
      <c r="H124" s="7">
        <v>43984</v>
      </c>
      <c r="I124" s="8">
        <v>1</v>
      </c>
      <c r="J124" s="9">
        <v>1</v>
      </c>
      <c r="K124" s="9">
        <v>19500</v>
      </c>
      <c r="L124" s="9">
        <v>19500</v>
      </c>
      <c r="M124" s="9">
        <v>19459.75</v>
      </c>
      <c r="N124" s="9">
        <v>19459.75</v>
      </c>
      <c r="O124" s="10" t="s">
        <v>459</v>
      </c>
      <c r="P124" s="9">
        <v>40.25</v>
      </c>
      <c r="Q124" s="12">
        <v>0.21</v>
      </c>
      <c r="R124" s="2" t="s">
        <v>459</v>
      </c>
      <c r="S124" s="2" t="s">
        <v>460</v>
      </c>
      <c r="T124" s="11">
        <f>HYPERLINK("https://my.zakupki.prom.ua/cabinet/purchases/state_purchase/view/16561087")</f>
      </c>
      <c r="U124" s="2" t="s">
        <v>37</v>
      </c>
      <c r="V124" s="2" t="s">
        <v>59</v>
      </c>
      <c r="W124" s="9">
        <v>19459.75</v>
      </c>
      <c r="X124" s="2" t="s">
        <v>39</v>
      </c>
      <c r="Y124" s="2" t="s">
        <v>40</v>
      </c>
    </row>
    <row r="125" spans="1:25" ht="12.75">
      <c r="A125" s="5">
        <v>121</v>
      </c>
      <c r="B125" s="2" t="s">
        <v>461</v>
      </c>
      <c r="C125" s="6" t="s">
        <v>462</v>
      </c>
      <c r="D125" s="2" t="s">
        <v>344</v>
      </c>
      <c r="E125" s="2" t="s">
        <v>160</v>
      </c>
      <c r="F125" s="7">
        <v>43854</v>
      </c>
      <c r="G125" s="7">
        <v>43871</v>
      </c>
      <c r="H125" s="7">
        <v>43892</v>
      </c>
      <c r="I125" s="8">
        <v>2</v>
      </c>
      <c r="J125" s="9">
        <v>16836</v>
      </c>
      <c r="K125" s="9">
        <v>492123.25</v>
      </c>
      <c r="L125" s="9">
        <v>29.23041399382276</v>
      </c>
      <c r="M125" s="9">
        <v>492113</v>
      </c>
      <c r="N125" s="9">
        <v>29.229805179377525</v>
      </c>
      <c r="O125" s="10" t="s">
        <v>463</v>
      </c>
      <c r="P125" s="9">
        <v>10.25</v>
      </c>
      <c r="Q125" s="12">
        <v>0</v>
      </c>
      <c r="R125" s="2" t="s">
        <v>463</v>
      </c>
      <c r="S125" s="2" t="s">
        <v>246</v>
      </c>
      <c r="T125" s="11">
        <f>HYPERLINK("https://my.zakupki.prom.ua/cabinet/purchases/state_purchase/view/14799128")</f>
      </c>
      <c r="U125" s="2" t="s">
        <v>37</v>
      </c>
      <c r="V125" s="2" t="s">
        <v>464</v>
      </c>
      <c r="W125" s="9">
        <v>492113</v>
      </c>
      <c r="X125" s="2" t="s">
        <v>39</v>
      </c>
      <c r="Y125" s="2" t="s">
        <v>40</v>
      </c>
    </row>
    <row r="126" spans="1:25" ht="12.75">
      <c r="A126" s="5">
        <v>122</v>
      </c>
      <c r="B126" s="2" t="s">
        <v>465</v>
      </c>
      <c r="C126" s="6" t="s">
        <v>466</v>
      </c>
      <c r="D126" s="2" t="s">
        <v>334</v>
      </c>
      <c r="E126" s="2" t="s">
        <v>160</v>
      </c>
      <c r="F126" s="7">
        <v>43825</v>
      </c>
      <c r="G126" s="7">
        <v>43843</v>
      </c>
      <c r="H126" s="7">
        <v>43854</v>
      </c>
      <c r="I126" s="8">
        <v>2</v>
      </c>
      <c r="J126" s="9">
        <v>16836</v>
      </c>
      <c r="K126" s="9">
        <v>492123.25</v>
      </c>
      <c r="L126" s="9">
        <v>29.23041399382276</v>
      </c>
      <c r="M126" s="9">
        <v>492113</v>
      </c>
      <c r="N126" s="9">
        <v>29.229805179377525</v>
      </c>
      <c r="O126" s="10" t="s">
        <v>463</v>
      </c>
      <c r="P126" s="9">
        <v>10.25</v>
      </c>
      <c r="Q126" s="12">
        <v>0</v>
      </c>
      <c r="R126" s="2" t="s">
        <v>463</v>
      </c>
      <c r="S126" s="2" t="s">
        <v>246</v>
      </c>
      <c r="T126" s="11">
        <f>HYPERLINK("https://my.zakupki.prom.ua/cabinet/purchases/state_purchase/view/14315376")</f>
      </c>
      <c r="U126" s="2" t="s">
        <v>200</v>
      </c>
      <c r="V126" s="2"/>
      <c r="W126" s="2"/>
      <c r="X126" s="2"/>
      <c r="Y126" s="2"/>
    </row>
    <row r="127" spans="1:25" ht="12.75">
      <c r="A127" s="5">
        <v>123</v>
      </c>
      <c r="B127" s="2" t="s">
        <v>467</v>
      </c>
      <c r="C127" s="6" t="s">
        <v>468</v>
      </c>
      <c r="D127" s="2" t="s">
        <v>469</v>
      </c>
      <c r="E127" s="2" t="s">
        <v>29</v>
      </c>
      <c r="F127" s="7">
        <v>43768</v>
      </c>
      <c r="G127" s="7">
        <v>43777</v>
      </c>
      <c r="H127" s="7">
        <v>43811</v>
      </c>
      <c r="I127" s="8">
        <v>2</v>
      </c>
      <c r="J127" s="9">
        <v>1</v>
      </c>
      <c r="K127" s="9">
        <v>45000</v>
      </c>
      <c r="L127" s="9">
        <v>45000</v>
      </c>
      <c r="M127" s="9">
        <v>44940</v>
      </c>
      <c r="N127" s="9">
        <v>44940</v>
      </c>
      <c r="O127" s="10" t="s">
        <v>470</v>
      </c>
      <c r="P127" s="9">
        <v>60</v>
      </c>
      <c r="Q127" s="12">
        <v>0.13</v>
      </c>
      <c r="R127" s="2" t="s">
        <v>470</v>
      </c>
      <c r="S127" s="2" t="s">
        <v>471</v>
      </c>
      <c r="T127" s="11">
        <f>HYPERLINK("https://my.zakupki.prom.ua/cabinet/purchases/state_purchase/view/13378563")</f>
      </c>
      <c r="U127" s="2" t="s">
        <v>200</v>
      </c>
      <c r="V127" s="2"/>
      <c r="W127" s="2"/>
      <c r="X127" s="2"/>
      <c r="Y127" s="2"/>
    </row>
    <row r="128" spans="1:25" ht="12.75">
      <c r="A128" s="5">
        <v>124</v>
      </c>
      <c r="B128" s="2" t="s">
        <v>472</v>
      </c>
      <c r="C128" s="6" t="s">
        <v>473</v>
      </c>
      <c r="D128" s="2" t="s">
        <v>474</v>
      </c>
      <c r="E128" s="2" t="s">
        <v>29</v>
      </c>
      <c r="F128" s="7">
        <v>43747</v>
      </c>
      <c r="G128" s="7">
        <v>43756</v>
      </c>
      <c r="H128" s="7">
        <v>43804</v>
      </c>
      <c r="I128" s="8">
        <v>1</v>
      </c>
      <c r="J128" s="9">
        <v>1</v>
      </c>
      <c r="K128" s="9">
        <v>95000</v>
      </c>
      <c r="L128" s="9">
        <v>95000</v>
      </c>
      <c r="M128" s="9">
        <v>94989</v>
      </c>
      <c r="N128" s="9">
        <v>94989</v>
      </c>
      <c r="O128" s="10" t="s">
        <v>475</v>
      </c>
      <c r="P128" s="9">
        <v>11</v>
      </c>
      <c r="Q128" s="12">
        <v>0.01</v>
      </c>
      <c r="R128" s="2" t="s">
        <v>475</v>
      </c>
      <c r="S128" s="2" t="s">
        <v>476</v>
      </c>
      <c r="T128" s="11">
        <f>HYPERLINK("https://my.zakupki.prom.ua/cabinet/purchases/state_purchase/view/13119464")</f>
      </c>
      <c r="U128" s="2" t="s">
        <v>37</v>
      </c>
      <c r="V128" s="2" t="s">
        <v>59</v>
      </c>
      <c r="W128" s="9">
        <v>94989</v>
      </c>
      <c r="X128" s="2" t="s">
        <v>39</v>
      </c>
      <c r="Y128" s="2" t="s">
        <v>40</v>
      </c>
    </row>
    <row r="129" spans="1:25" ht="12.75">
      <c r="A129" s="5">
        <v>125</v>
      </c>
      <c r="B129" s="2" t="s">
        <v>477</v>
      </c>
      <c r="C129" s="6" t="s">
        <v>478</v>
      </c>
      <c r="D129" s="2" t="s">
        <v>479</v>
      </c>
      <c r="E129" s="2" t="s">
        <v>29</v>
      </c>
      <c r="F129" s="7">
        <v>43675</v>
      </c>
      <c r="G129" s="7">
        <v>43683</v>
      </c>
      <c r="H129" s="7">
        <v>43748</v>
      </c>
      <c r="I129" s="8">
        <v>1</v>
      </c>
      <c r="J129" s="9">
        <v>1</v>
      </c>
      <c r="K129" s="9">
        <v>10000</v>
      </c>
      <c r="L129" s="9">
        <v>10000</v>
      </c>
      <c r="M129" s="9">
        <v>9534</v>
      </c>
      <c r="N129" s="9">
        <v>9534</v>
      </c>
      <c r="O129" s="10" t="s">
        <v>480</v>
      </c>
      <c r="P129" s="9">
        <v>466</v>
      </c>
      <c r="Q129" s="12">
        <v>4.66</v>
      </c>
      <c r="R129" s="2" t="s">
        <v>480</v>
      </c>
      <c r="S129" s="2" t="s">
        <v>481</v>
      </c>
      <c r="T129" s="11">
        <f>HYPERLINK("https://my.zakupki.prom.ua/cabinet/purchases/state_purchase/view/12367528")</f>
      </c>
      <c r="U129" s="2" t="s">
        <v>200</v>
      </c>
      <c r="V129" s="2"/>
      <c r="W129" s="2"/>
      <c r="X129" s="2"/>
      <c r="Y129" s="2"/>
    </row>
    <row r="130" spans="1:25" ht="12.75">
      <c r="A130" s="5">
        <v>126</v>
      </c>
      <c r="B130" s="2" t="s">
        <v>482</v>
      </c>
      <c r="C130" s="6" t="s">
        <v>473</v>
      </c>
      <c r="D130" s="2" t="s">
        <v>474</v>
      </c>
      <c r="E130" s="2" t="s">
        <v>29</v>
      </c>
      <c r="F130" s="7">
        <v>43671</v>
      </c>
      <c r="G130" s="7">
        <v>43680</v>
      </c>
      <c r="H130" s="7">
        <v>43756</v>
      </c>
      <c r="I130" s="8">
        <v>1</v>
      </c>
      <c r="J130" s="9">
        <v>1</v>
      </c>
      <c r="K130" s="9">
        <v>95000</v>
      </c>
      <c r="L130" s="9">
        <v>95000</v>
      </c>
      <c r="M130" s="9">
        <v>84910</v>
      </c>
      <c r="N130" s="9">
        <v>84910</v>
      </c>
      <c r="O130" s="10" t="s">
        <v>483</v>
      </c>
      <c r="P130" s="9">
        <v>10090</v>
      </c>
      <c r="Q130" s="12">
        <v>10.62</v>
      </c>
      <c r="R130" s="2" t="s">
        <v>483</v>
      </c>
      <c r="S130" s="2" t="s">
        <v>484</v>
      </c>
      <c r="T130" s="11">
        <f>HYPERLINK("https://my.zakupki.prom.ua/cabinet/purchases/state_purchase/view/12339100")</f>
      </c>
      <c r="U130" s="2" t="s">
        <v>37</v>
      </c>
      <c r="V130" s="2" t="s">
        <v>59</v>
      </c>
      <c r="W130" s="9">
        <v>84910</v>
      </c>
      <c r="X130" s="2" t="s">
        <v>39</v>
      </c>
      <c r="Y130" s="2" t="s">
        <v>40</v>
      </c>
    </row>
    <row r="131" spans="1:25" ht="12.75">
      <c r="A131" s="5">
        <v>127</v>
      </c>
      <c r="B131" s="2" t="s">
        <v>485</v>
      </c>
      <c r="C131" s="6" t="s">
        <v>262</v>
      </c>
      <c r="D131" s="2" t="s">
        <v>263</v>
      </c>
      <c r="E131" s="2" t="s">
        <v>29</v>
      </c>
      <c r="F131" s="7">
        <v>43657</v>
      </c>
      <c r="G131" s="7">
        <v>43668</v>
      </c>
      <c r="H131" s="7">
        <v>43808</v>
      </c>
      <c r="I131" s="8">
        <v>2</v>
      </c>
      <c r="J131" s="9">
        <v>6</v>
      </c>
      <c r="K131" s="9">
        <v>51750</v>
      </c>
      <c r="L131" s="9">
        <v>8625</v>
      </c>
      <c r="M131" s="9">
        <v>41556</v>
      </c>
      <c r="N131" s="9">
        <v>6926</v>
      </c>
      <c r="O131" s="10" t="s">
        <v>486</v>
      </c>
      <c r="P131" s="9">
        <v>10194</v>
      </c>
      <c r="Q131" s="12">
        <v>19.7</v>
      </c>
      <c r="R131" s="2" t="s">
        <v>486</v>
      </c>
      <c r="S131" s="2" t="s">
        <v>487</v>
      </c>
      <c r="T131" s="11">
        <f>HYPERLINK("https://my.zakupki.prom.ua/cabinet/purchases/state_purchase/view/12200818")</f>
      </c>
      <c r="U131" s="2" t="s">
        <v>37</v>
      </c>
      <c r="V131" s="2" t="s">
        <v>59</v>
      </c>
      <c r="W131" s="9">
        <v>41556</v>
      </c>
      <c r="X131" s="2" t="s">
        <v>39</v>
      </c>
      <c r="Y131" s="2" t="s">
        <v>40</v>
      </c>
    </row>
    <row r="132" spans="1:25" ht="12.75">
      <c r="A132" s="5">
        <v>128</v>
      </c>
      <c r="B132" s="2" t="s">
        <v>488</v>
      </c>
      <c r="C132" s="6" t="s">
        <v>489</v>
      </c>
      <c r="D132" s="2" t="s">
        <v>398</v>
      </c>
      <c r="E132" s="2" t="s">
        <v>160</v>
      </c>
      <c r="F132" s="7">
        <v>43641</v>
      </c>
      <c r="G132" s="7">
        <v>43657</v>
      </c>
      <c r="H132" s="7">
        <v>43642</v>
      </c>
      <c r="I132" s="8">
        <v>0</v>
      </c>
      <c r="J132" s="9">
        <v>102</v>
      </c>
      <c r="K132" s="9">
        <v>633100</v>
      </c>
      <c r="L132" s="9">
        <v>6206.862745098039</v>
      </c>
      <c r="M132" s="5">
        <v>0</v>
      </c>
      <c r="N132" s="2"/>
      <c r="O132" s="10"/>
      <c r="P132" s="2"/>
      <c r="Q132" s="2"/>
      <c r="R132" s="2"/>
      <c r="S132" s="2"/>
      <c r="T132" s="11">
        <f>HYPERLINK("https://my.zakupki.prom.ua/cabinet/purchases/state_purchase/view/12035205")</f>
      </c>
      <c r="U132" s="2" t="s">
        <v>200</v>
      </c>
      <c r="V132" s="2"/>
      <c r="W132" s="2"/>
      <c r="X132" s="2"/>
      <c r="Y132" s="2"/>
    </row>
    <row r="133" spans="1:25" ht="12.75">
      <c r="A133" s="5">
        <v>129</v>
      </c>
      <c r="B133" s="2" t="s">
        <v>490</v>
      </c>
      <c r="C133" s="6" t="s">
        <v>300</v>
      </c>
      <c r="D133" s="2" t="s">
        <v>301</v>
      </c>
      <c r="E133" s="2" t="s">
        <v>29</v>
      </c>
      <c r="F133" s="7">
        <v>43605</v>
      </c>
      <c r="G133" s="7">
        <v>43613</v>
      </c>
      <c r="H133" s="7">
        <v>43739</v>
      </c>
      <c r="I133" s="8">
        <v>4</v>
      </c>
      <c r="J133" s="9">
        <v>1</v>
      </c>
      <c r="K133" s="9">
        <v>65000</v>
      </c>
      <c r="L133" s="9">
        <v>65000</v>
      </c>
      <c r="M133" s="9">
        <v>31675</v>
      </c>
      <c r="N133" s="9">
        <v>31675</v>
      </c>
      <c r="O133" s="10" t="s">
        <v>491</v>
      </c>
      <c r="P133" s="9">
        <v>33325</v>
      </c>
      <c r="Q133" s="12">
        <v>51.27</v>
      </c>
      <c r="R133" s="2" t="s">
        <v>491</v>
      </c>
      <c r="S133" s="2" t="s">
        <v>492</v>
      </c>
      <c r="T133" s="11">
        <f>HYPERLINK("https://my.zakupki.prom.ua/cabinet/purchases/state_purchase/view/11642341")</f>
      </c>
      <c r="U133" s="2" t="s">
        <v>37</v>
      </c>
      <c r="V133" s="2" t="s">
        <v>151</v>
      </c>
      <c r="W133" s="9">
        <v>31675</v>
      </c>
      <c r="X133" s="2" t="s">
        <v>39</v>
      </c>
      <c r="Y133" s="2" t="s">
        <v>341</v>
      </c>
    </row>
    <row r="134" spans="1:25" ht="12.75">
      <c r="A134" s="5">
        <v>130</v>
      </c>
      <c r="B134" s="2" t="s">
        <v>493</v>
      </c>
      <c r="C134" s="6" t="s">
        <v>300</v>
      </c>
      <c r="D134" s="2" t="s">
        <v>494</v>
      </c>
      <c r="E134" s="2" t="s">
        <v>29</v>
      </c>
      <c r="F134" s="7">
        <v>43558</v>
      </c>
      <c r="G134" s="7">
        <v>43571</v>
      </c>
      <c r="H134" s="7">
        <v>43591</v>
      </c>
      <c r="I134" s="8">
        <v>5</v>
      </c>
      <c r="J134" s="9">
        <v>1</v>
      </c>
      <c r="K134" s="9">
        <v>65000</v>
      </c>
      <c r="L134" s="9">
        <v>65000</v>
      </c>
      <c r="M134" s="9">
        <v>58999</v>
      </c>
      <c r="N134" s="9">
        <v>58999</v>
      </c>
      <c r="O134" s="10" t="s">
        <v>495</v>
      </c>
      <c r="P134" s="9">
        <v>6001</v>
      </c>
      <c r="Q134" s="12">
        <v>9.23</v>
      </c>
      <c r="R134" s="2" t="s">
        <v>495</v>
      </c>
      <c r="S134" s="2" t="s">
        <v>496</v>
      </c>
      <c r="T134" s="11">
        <f>HYPERLINK("https://my.zakupki.prom.ua/cabinet/purchases/state_purchase/view/11164268")</f>
      </c>
      <c r="U134" s="2" t="s">
        <v>200</v>
      </c>
      <c r="V134" s="2"/>
      <c r="W134" s="2"/>
      <c r="X134" s="2"/>
      <c r="Y134" s="2"/>
    </row>
    <row r="135" spans="1:25" ht="12.75">
      <c r="A135" s="5">
        <v>131</v>
      </c>
      <c r="B135" s="2" t="s">
        <v>497</v>
      </c>
      <c r="C135" s="6" t="s">
        <v>498</v>
      </c>
      <c r="D135" s="2" t="s">
        <v>499</v>
      </c>
      <c r="E135" s="2" t="s">
        <v>29</v>
      </c>
      <c r="F135" s="7">
        <v>43544</v>
      </c>
      <c r="G135" s="7">
        <v>43565</v>
      </c>
      <c r="H135" s="7">
        <v>43623</v>
      </c>
      <c r="I135" s="8">
        <v>3</v>
      </c>
      <c r="J135" s="9">
        <v>520</v>
      </c>
      <c r="K135" s="9">
        <v>25000</v>
      </c>
      <c r="L135" s="9">
        <v>48.07692307692308</v>
      </c>
      <c r="M135" s="9">
        <v>19907.52</v>
      </c>
      <c r="N135" s="9">
        <v>38.283692307692306</v>
      </c>
      <c r="O135" s="10" t="s">
        <v>500</v>
      </c>
      <c r="P135" s="9">
        <v>5092.48</v>
      </c>
      <c r="Q135" s="12">
        <v>20.37</v>
      </c>
      <c r="R135" s="2" t="s">
        <v>500</v>
      </c>
      <c r="S135" s="2" t="s">
        <v>501</v>
      </c>
      <c r="T135" s="11">
        <f>HYPERLINK("https://my.zakupki.prom.ua/cabinet/purchases/state_purchase/view/10993908")</f>
      </c>
      <c r="U135" s="2" t="s">
        <v>37</v>
      </c>
      <c r="V135" s="2" t="s">
        <v>59</v>
      </c>
      <c r="W135" s="9">
        <v>19907.52</v>
      </c>
      <c r="X135" s="2" t="s">
        <v>39</v>
      </c>
      <c r="Y135" s="2" t="s">
        <v>40</v>
      </c>
    </row>
    <row r="136" spans="1:25" ht="12.75">
      <c r="A136" s="5">
        <v>132</v>
      </c>
      <c r="B136" s="2" t="s">
        <v>502</v>
      </c>
      <c r="C136" s="6" t="s">
        <v>300</v>
      </c>
      <c r="D136" s="2" t="s">
        <v>301</v>
      </c>
      <c r="E136" s="2" t="s">
        <v>29</v>
      </c>
      <c r="F136" s="7">
        <v>43502</v>
      </c>
      <c r="G136" s="7">
        <v>43521</v>
      </c>
      <c r="H136" s="7">
        <v>43530</v>
      </c>
      <c r="I136" s="8">
        <v>8</v>
      </c>
      <c r="J136" s="9">
        <v>1650</v>
      </c>
      <c r="K136" s="9">
        <v>65000</v>
      </c>
      <c r="L136" s="9">
        <v>39.39393939393939</v>
      </c>
      <c r="M136" s="9">
        <v>29900</v>
      </c>
      <c r="N136" s="9">
        <v>18.12121212121212</v>
      </c>
      <c r="O136" s="10" t="s">
        <v>495</v>
      </c>
      <c r="P136" s="9">
        <v>35100</v>
      </c>
      <c r="Q136" s="12">
        <v>54</v>
      </c>
      <c r="R136" s="2" t="s">
        <v>495</v>
      </c>
      <c r="S136" s="2" t="s">
        <v>496</v>
      </c>
      <c r="T136" s="11">
        <f>HYPERLINK("https://my.zakupki.prom.ua/cabinet/purchases/state_purchase/view/10407632")</f>
      </c>
      <c r="U136" s="2" t="s">
        <v>200</v>
      </c>
      <c r="V136" s="2"/>
      <c r="W136" s="2"/>
      <c r="X136" s="2"/>
      <c r="Y136" s="2"/>
    </row>
    <row r="137" spans="1:25" ht="12.75">
      <c r="A137" s="5">
        <v>133</v>
      </c>
      <c r="B137" s="2" t="s">
        <v>503</v>
      </c>
      <c r="C137" s="6" t="s">
        <v>198</v>
      </c>
      <c r="D137" s="2" t="s">
        <v>504</v>
      </c>
      <c r="E137" s="2" t="s">
        <v>29</v>
      </c>
      <c r="F137" s="7">
        <v>43503</v>
      </c>
      <c r="G137" s="7">
        <v>43518</v>
      </c>
      <c r="H137" s="7">
        <v>43566</v>
      </c>
      <c r="I137" s="8">
        <v>3</v>
      </c>
      <c r="J137" s="9">
        <v>1</v>
      </c>
      <c r="K137" s="9">
        <v>10000</v>
      </c>
      <c r="L137" s="9">
        <v>10000</v>
      </c>
      <c r="M137" s="9">
        <v>7499</v>
      </c>
      <c r="N137" s="9">
        <v>7499</v>
      </c>
      <c r="O137" s="10" t="s">
        <v>505</v>
      </c>
      <c r="P137" s="9">
        <v>2501</v>
      </c>
      <c r="Q137" s="12">
        <v>25.01</v>
      </c>
      <c r="R137" s="2" t="s">
        <v>505</v>
      </c>
      <c r="S137" s="2" t="s">
        <v>506</v>
      </c>
      <c r="T137" s="11">
        <f>HYPERLINK("https://my.zakupki.prom.ua/cabinet/purchases/state_purchase/view/10435734")</f>
      </c>
      <c r="U137" s="2" t="s">
        <v>37</v>
      </c>
      <c r="V137" s="2" t="s">
        <v>507</v>
      </c>
      <c r="W137" s="9">
        <v>7499</v>
      </c>
      <c r="X137" s="2" t="s">
        <v>39</v>
      </c>
      <c r="Y137" s="2" t="s">
        <v>40</v>
      </c>
    </row>
    <row r="138" spans="1:25" ht="12.75">
      <c r="A138" s="5">
        <v>134</v>
      </c>
      <c r="B138" s="2" t="s">
        <v>508</v>
      </c>
      <c r="C138" s="6" t="s">
        <v>111</v>
      </c>
      <c r="D138" s="2" t="s">
        <v>112</v>
      </c>
      <c r="E138" s="2" t="s">
        <v>29</v>
      </c>
      <c r="F138" s="7">
        <v>43482</v>
      </c>
      <c r="G138" s="7">
        <v>43493</v>
      </c>
      <c r="H138" s="7">
        <v>43510</v>
      </c>
      <c r="I138" s="8">
        <v>1</v>
      </c>
      <c r="J138" s="9">
        <v>14</v>
      </c>
      <c r="K138" s="9">
        <v>3577</v>
      </c>
      <c r="L138" s="9">
        <v>255.5</v>
      </c>
      <c r="M138" s="9">
        <v>3500</v>
      </c>
      <c r="N138" s="9">
        <v>250</v>
      </c>
      <c r="O138" s="10" t="s">
        <v>509</v>
      </c>
      <c r="P138" s="9">
        <v>77</v>
      </c>
      <c r="Q138" s="12">
        <v>2.15</v>
      </c>
      <c r="R138" s="2" t="s">
        <v>509</v>
      </c>
      <c r="S138" s="2" t="s">
        <v>510</v>
      </c>
      <c r="T138" s="11">
        <f>HYPERLINK("https://my.zakupki.prom.ua/cabinet/purchases/state_purchase/view/9868697")</f>
      </c>
      <c r="U138" s="2" t="s">
        <v>37</v>
      </c>
      <c r="V138" s="2" t="s">
        <v>59</v>
      </c>
      <c r="W138" s="9">
        <v>3500</v>
      </c>
      <c r="X138" s="2" t="s">
        <v>39</v>
      </c>
      <c r="Y138" s="2" t="s">
        <v>40</v>
      </c>
    </row>
    <row r="139" spans="1:25" ht="12.75">
      <c r="A139" s="5">
        <v>135</v>
      </c>
      <c r="B139" s="2" t="s">
        <v>511</v>
      </c>
      <c r="C139" s="6" t="s">
        <v>512</v>
      </c>
      <c r="D139" s="2" t="s">
        <v>55</v>
      </c>
      <c r="E139" s="2" t="s">
        <v>160</v>
      </c>
      <c r="F139" s="7">
        <v>43431</v>
      </c>
      <c r="G139" s="7">
        <v>43455</v>
      </c>
      <c r="H139" s="7">
        <v>43473</v>
      </c>
      <c r="I139" s="8">
        <v>2</v>
      </c>
      <c r="J139" s="9">
        <v>19001</v>
      </c>
      <c r="K139" s="9">
        <v>445074</v>
      </c>
      <c r="L139" s="9">
        <v>23.42371454133993</v>
      </c>
      <c r="M139" s="9">
        <v>444883.99</v>
      </c>
      <c r="N139" s="9">
        <v>23.413714541339928</v>
      </c>
      <c r="O139" s="10" t="s">
        <v>245</v>
      </c>
      <c r="P139" s="9">
        <v>190.01</v>
      </c>
      <c r="Q139" s="12">
        <v>0.04</v>
      </c>
      <c r="R139" s="2" t="s">
        <v>245</v>
      </c>
      <c r="S139" s="2" t="s">
        <v>246</v>
      </c>
      <c r="T139" s="11">
        <f>HYPERLINK("https://my.zakupki.prom.ua/cabinet/purchases/state_purchase/view/9054760")</f>
      </c>
      <c r="U139" s="2" t="s">
        <v>37</v>
      </c>
      <c r="V139" s="2" t="s">
        <v>513</v>
      </c>
      <c r="W139" s="9">
        <v>444883.99</v>
      </c>
      <c r="X139" s="2" t="s">
        <v>39</v>
      </c>
      <c r="Y139" s="2" t="s">
        <v>40</v>
      </c>
    </row>
    <row r="140" spans="1:25" ht="12.75">
      <c r="A140" s="5">
        <v>136</v>
      </c>
      <c r="B140" s="2" t="s">
        <v>514</v>
      </c>
      <c r="C140" s="6" t="s">
        <v>515</v>
      </c>
      <c r="D140" s="2" t="s">
        <v>516</v>
      </c>
      <c r="E140" s="2" t="s">
        <v>29</v>
      </c>
      <c r="F140" s="7">
        <v>43420</v>
      </c>
      <c r="G140" s="7">
        <v>43437</v>
      </c>
      <c r="H140" s="7">
        <v>43452</v>
      </c>
      <c r="I140" s="8">
        <v>3</v>
      </c>
      <c r="J140" s="9">
        <v>1</v>
      </c>
      <c r="K140" s="9">
        <v>4500</v>
      </c>
      <c r="L140" s="9">
        <v>4500</v>
      </c>
      <c r="M140" s="9">
        <v>1732.01</v>
      </c>
      <c r="N140" s="9">
        <v>1732.01</v>
      </c>
      <c r="O140" s="10" t="s">
        <v>517</v>
      </c>
      <c r="P140" s="9">
        <v>2767.99</v>
      </c>
      <c r="Q140" s="12">
        <v>61.51</v>
      </c>
      <c r="R140" s="2" t="s">
        <v>517</v>
      </c>
      <c r="S140" s="2" t="s">
        <v>518</v>
      </c>
      <c r="T140" s="11">
        <f>HYPERLINK("https://my.zakupki.prom.ua/cabinet/purchases/state_purchase/view/8918585")</f>
      </c>
      <c r="U140" s="2" t="s">
        <v>37</v>
      </c>
      <c r="V140" s="2" t="s">
        <v>59</v>
      </c>
      <c r="W140" s="9">
        <v>1732.01</v>
      </c>
      <c r="X140" s="2" t="s">
        <v>39</v>
      </c>
      <c r="Y140" s="2" t="s">
        <v>40</v>
      </c>
    </row>
    <row r="141" spans="1:25" ht="12.75">
      <c r="A141" s="5">
        <v>137</v>
      </c>
      <c r="B141" s="2" t="s">
        <v>519</v>
      </c>
      <c r="C141" s="6" t="s">
        <v>520</v>
      </c>
      <c r="D141" s="2" t="s">
        <v>521</v>
      </c>
      <c r="E141" s="2" t="s">
        <v>29</v>
      </c>
      <c r="F141" s="7">
        <v>43382</v>
      </c>
      <c r="G141" s="7">
        <v>43397</v>
      </c>
      <c r="H141" s="7">
        <v>43434</v>
      </c>
      <c r="I141" s="8">
        <v>1</v>
      </c>
      <c r="J141" s="9">
        <v>4</v>
      </c>
      <c r="K141" s="9">
        <v>28760</v>
      </c>
      <c r="L141" s="9">
        <v>7190</v>
      </c>
      <c r="M141" s="9">
        <v>26940</v>
      </c>
      <c r="N141" s="9">
        <v>6735</v>
      </c>
      <c r="O141" s="10" t="s">
        <v>522</v>
      </c>
      <c r="P141" s="9">
        <v>1820</v>
      </c>
      <c r="Q141" s="12">
        <v>6.33</v>
      </c>
      <c r="R141" s="2" t="s">
        <v>522</v>
      </c>
      <c r="S141" s="2" t="s">
        <v>523</v>
      </c>
      <c r="T141" s="11">
        <f>HYPERLINK("https://my.zakupki.prom.ua/cabinet/purchases/state_purchase/view/8494579")</f>
      </c>
      <c r="U141" s="2" t="s">
        <v>37</v>
      </c>
      <c r="V141" s="2" t="s">
        <v>59</v>
      </c>
      <c r="W141" s="9">
        <v>26940</v>
      </c>
      <c r="X141" s="2" t="s">
        <v>39</v>
      </c>
      <c r="Y141" s="2" t="s">
        <v>40</v>
      </c>
    </row>
    <row r="142" spans="1:25" ht="12.75">
      <c r="A142" s="5">
        <v>138</v>
      </c>
      <c r="B142" s="2" t="s">
        <v>524</v>
      </c>
      <c r="C142" s="6" t="s">
        <v>525</v>
      </c>
      <c r="D142" s="2" t="s">
        <v>504</v>
      </c>
      <c r="E142" s="2" t="s">
        <v>29</v>
      </c>
      <c r="F142" s="7">
        <v>43251</v>
      </c>
      <c r="G142" s="7">
        <v>43269</v>
      </c>
      <c r="H142" s="7">
        <v>43356</v>
      </c>
      <c r="I142" s="8">
        <v>2</v>
      </c>
      <c r="J142" s="9">
        <v>1</v>
      </c>
      <c r="K142" s="9">
        <v>18500</v>
      </c>
      <c r="L142" s="9">
        <v>18500</v>
      </c>
      <c r="M142" s="9">
        <v>15400</v>
      </c>
      <c r="N142" s="9">
        <v>15400</v>
      </c>
      <c r="O142" s="10" t="s">
        <v>526</v>
      </c>
      <c r="P142" s="9">
        <v>3100</v>
      </c>
      <c r="Q142" s="12">
        <v>16.76</v>
      </c>
      <c r="R142" s="2" t="s">
        <v>526</v>
      </c>
      <c r="S142" s="2" t="s">
        <v>527</v>
      </c>
      <c r="T142" s="11">
        <f>HYPERLINK("https://my.zakupki.prom.ua/cabinet/purchases/state_purchase/view/7286827")</f>
      </c>
      <c r="U142" s="2" t="s">
        <v>37</v>
      </c>
      <c r="V142" s="2" t="s">
        <v>528</v>
      </c>
      <c r="W142" s="9">
        <v>15400</v>
      </c>
      <c r="X142" s="2" t="s">
        <v>39</v>
      </c>
      <c r="Y142" s="2" t="s">
        <v>40</v>
      </c>
    </row>
    <row r="143" spans="1:25" ht="12.75">
      <c r="A143" s="5">
        <v>139</v>
      </c>
      <c r="B143" s="2" t="s">
        <v>529</v>
      </c>
      <c r="C143" s="6" t="s">
        <v>198</v>
      </c>
      <c r="D143" s="2" t="s">
        <v>199</v>
      </c>
      <c r="E143" s="2" t="s">
        <v>29</v>
      </c>
      <c r="F143" s="7">
        <v>43238</v>
      </c>
      <c r="G143" s="7">
        <v>43256</v>
      </c>
      <c r="H143" s="7">
        <v>43327</v>
      </c>
      <c r="I143" s="8">
        <v>2</v>
      </c>
      <c r="J143" s="9">
        <v>1</v>
      </c>
      <c r="K143" s="9">
        <v>9885</v>
      </c>
      <c r="L143" s="9">
        <v>9885</v>
      </c>
      <c r="M143" s="9">
        <v>9250</v>
      </c>
      <c r="N143" s="9">
        <v>9250</v>
      </c>
      <c r="O143" s="10" t="s">
        <v>530</v>
      </c>
      <c r="P143" s="9">
        <v>635</v>
      </c>
      <c r="Q143" s="12">
        <v>6.42</v>
      </c>
      <c r="R143" s="2" t="s">
        <v>530</v>
      </c>
      <c r="S143" s="2" t="s">
        <v>531</v>
      </c>
      <c r="T143" s="11">
        <f>HYPERLINK("https://my.zakupki.prom.ua/cabinet/purchases/state_purchase/view/7166254")</f>
      </c>
      <c r="U143" s="2" t="s">
        <v>37</v>
      </c>
      <c r="V143" s="2" t="s">
        <v>59</v>
      </c>
      <c r="W143" s="9">
        <v>9250</v>
      </c>
      <c r="X143" s="2" t="s">
        <v>39</v>
      </c>
      <c r="Y143" s="2" t="s">
        <v>40</v>
      </c>
    </row>
    <row r="144" spans="1:25" ht="12.75">
      <c r="A144" s="5">
        <v>140</v>
      </c>
      <c r="B144" s="2" t="s">
        <v>532</v>
      </c>
      <c r="C144" s="6" t="s">
        <v>111</v>
      </c>
      <c r="D144" s="2" t="s">
        <v>112</v>
      </c>
      <c r="E144" s="2" t="s">
        <v>29</v>
      </c>
      <c r="F144" s="7">
        <v>43137</v>
      </c>
      <c r="G144" s="7">
        <v>43150</v>
      </c>
      <c r="H144" s="7">
        <v>43164</v>
      </c>
      <c r="I144" s="8">
        <v>2</v>
      </c>
      <c r="J144" s="9">
        <v>12</v>
      </c>
      <c r="K144" s="9">
        <v>3617</v>
      </c>
      <c r="L144" s="9">
        <v>301.4166666666667</v>
      </c>
      <c r="M144" s="9">
        <v>2412</v>
      </c>
      <c r="N144" s="9">
        <v>201</v>
      </c>
      <c r="O144" s="10" t="s">
        <v>533</v>
      </c>
      <c r="P144" s="9">
        <v>1205</v>
      </c>
      <c r="Q144" s="12">
        <v>33.31</v>
      </c>
      <c r="R144" s="2" t="s">
        <v>533</v>
      </c>
      <c r="S144" s="2" t="s">
        <v>534</v>
      </c>
      <c r="T144" s="11">
        <f>HYPERLINK("https://my.zakupki.prom.ua/cabinet/purchases/state_purchase/view/6013709")</f>
      </c>
      <c r="U144" s="2" t="s">
        <v>37</v>
      </c>
      <c r="V144" s="2" t="s">
        <v>535</v>
      </c>
      <c r="W144" s="9">
        <v>2412</v>
      </c>
      <c r="X144" s="2" t="s">
        <v>39</v>
      </c>
      <c r="Y144" s="2" t="s">
        <v>40</v>
      </c>
    </row>
    <row r="145" spans="1:25" ht="12.75">
      <c r="A145" s="5">
        <v>141</v>
      </c>
      <c r="B145" s="2" t="s">
        <v>536</v>
      </c>
      <c r="C145" s="6" t="s">
        <v>537</v>
      </c>
      <c r="D145" s="2" t="s">
        <v>210</v>
      </c>
      <c r="E145" s="2" t="s">
        <v>29</v>
      </c>
      <c r="F145" s="7">
        <v>43138</v>
      </c>
      <c r="G145" s="7">
        <v>43150</v>
      </c>
      <c r="H145" s="7">
        <v>43154</v>
      </c>
      <c r="I145" s="8">
        <v>1</v>
      </c>
      <c r="J145" s="9">
        <v>13</v>
      </c>
      <c r="K145" s="9">
        <v>10700</v>
      </c>
      <c r="L145" s="9">
        <v>823.0769230769231</v>
      </c>
      <c r="M145" s="9">
        <v>6110</v>
      </c>
      <c r="N145" s="9">
        <v>470</v>
      </c>
      <c r="O145" s="10" t="s">
        <v>538</v>
      </c>
      <c r="P145" s="9">
        <v>4590</v>
      </c>
      <c r="Q145" s="12">
        <v>42.9</v>
      </c>
      <c r="R145" s="2" t="s">
        <v>538</v>
      </c>
      <c r="S145" s="2" t="s">
        <v>539</v>
      </c>
      <c r="T145" s="11">
        <f>HYPERLINK("https://my.zakupki.prom.ua/cabinet/purchases/state_purchase/view/6047044")</f>
      </c>
      <c r="U145" s="2" t="s">
        <v>200</v>
      </c>
      <c r="V145" s="2"/>
      <c r="W145" s="2"/>
      <c r="X145" s="2"/>
      <c r="Y145" s="2"/>
    </row>
    <row r="146" spans="1:25" ht="12.75">
      <c r="A146" s="5">
        <v>142</v>
      </c>
      <c r="B146" s="2" t="s">
        <v>540</v>
      </c>
      <c r="C146" s="6" t="s">
        <v>158</v>
      </c>
      <c r="D146" s="2" t="s">
        <v>159</v>
      </c>
      <c r="E146" s="2" t="s">
        <v>160</v>
      </c>
      <c r="F146" s="7">
        <v>43084</v>
      </c>
      <c r="G146" s="7">
        <v>43102</v>
      </c>
      <c r="H146" s="7">
        <v>43127</v>
      </c>
      <c r="I146" s="8">
        <v>3</v>
      </c>
      <c r="J146" s="9">
        <v>21686</v>
      </c>
      <c r="K146" s="9">
        <v>221115.58</v>
      </c>
      <c r="L146" s="9">
        <v>10.196236281471917</v>
      </c>
      <c r="M146" s="5">
        <v>0</v>
      </c>
      <c r="N146" s="2"/>
      <c r="O146" s="10"/>
      <c r="P146" s="2"/>
      <c r="Q146" s="2"/>
      <c r="R146" s="2"/>
      <c r="S146" s="2"/>
      <c r="T146" s="11">
        <f>HYPERLINK("https://my.zakupki.prom.ua/cabinet/purchases/state_purchase/view/5027413")</f>
      </c>
      <c r="U146" s="2" t="s">
        <v>30</v>
      </c>
      <c r="V146" s="2"/>
      <c r="W146" s="2"/>
      <c r="X146" s="2"/>
      <c r="Y146" s="2"/>
    </row>
    <row r="147" spans="1:25" ht="12.75">
      <c r="A147" s="5">
        <v>143</v>
      </c>
      <c r="B147" s="2" t="s">
        <v>541</v>
      </c>
      <c r="C147" s="6" t="s">
        <v>542</v>
      </c>
      <c r="D147" s="2" t="s">
        <v>154</v>
      </c>
      <c r="E147" s="2" t="s">
        <v>29</v>
      </c>
      <c r="F147" s="7">
        <v>42948</v>
      </c>
      <c r="G147" s="7">
        <v>42962</v>
      </c>
      <c r="H147" s="7">
        <v>43039</v>
      </c>
      <c r="I147" s="8">
        <v>4</v>
      </c>
      <c r="J147" s="9">
        <v>11</v>
      </c>
      <c r="K147" s="9">
        <v>60000</v>
      </c>
      <c r="L147" s="9">
        <v>5454.545454545455</v>
      </c>
      <c r="M147" s="9">
        <v>49900</v>
      </c>
      <c r="N147" s="9">
        <v>4536.363636363636</v>
      </c>
      <c r="O147" s="10" t="s">
        <v>543</v>
      </c>
      <c r="P147" s="9">
        <v>10100</v>
      </c>
      <c r="Q147" s="12">
        <v>16.83</v>
      </c>
      <c r="R147" s="2" t="s">
        <v>543</v>
      </c>
      <c r="S147" s="2" t="s">
        <v>169</v>
      </c>
      <c r="T147" s="11">
        <f>HYPERLINK("https://my.zakupki.prom.ua/cabinet/purchases/state_purchase/view/3682055")</f>
      </c>
      <c r="U147" s="2" t="s">
        <v>37</v>
      </c>
      <c r="V147" s="2" t="s">
        <v>544</v>
      </c>
      <c r="W147" s="9">
        <v>49900</v>
      </c>
      <c r="X147" s="2" t="s">
        <v>39</v>
      </c>
      <c r="Y147" s="2" t="s">
        <v>40</v>
      </c>
    </row>
    <row r="148" spans="1:25" ht="12.75">
      <c r="A148" s="5">
        <v>144</v>
      </c>
      <c r="B148" s="2" t="s">
        <v>545</v>
      </c>
      <c r="C148" s="6" t="s">
        <v>546</v>
      </c>
      <c r="D148" s="2" t="s">
        <v>547</v>
      </c>
      <c r="E148" s="2" t="s">
        <v>29</v>
      </c>
      <c r="F148" s="7">
        <v>42926</v>
      </c>
      <c r="G148" s="7">
        <v>42947</v>
      </c>
      <c r="H148" s="7">
        <v>42944</v>
      </c>
      <c r="I148" s="8">
        <v>1</v>
      </c>
      <c r="J148" s="9">
        <v>16</v>
      </c>
      <c r="K148" s="9">
        <v>60000</v>
      </c>
      <c r="L148" s="9">
        <v>3750</v>
      </c>
      <c r="M148" s="5">
        <v>0</v>
      </c>
      <c r="N148" s="2"/>
      <c r="O148" s="10"/>
      <c r="P148" s="2"/>
      <c r="Q148" s="2"/>
      <c r="R148" s="2"/>
      <c r="S148" s="2"/>
      <c r="T148" s="11">
        <f>HYPERLINK("https://my.zakupki.prom.ua/cabinet/purchases/state_purchase/view/3511086")</f>
      </c>
      <c r="U148" s="2" t="s">
        <v>200</v>
      </c>
      <c r="V148" s="2"/>
      <c r="W148" s="2"/>
      <c r="X148" s="2"/>
      <c r="Y148" s="2"/>
    </row>
    <row r="149" spans="1:25" ht="12.75">
      <c r="A149" s="5">
        <v>145</v>
      </c>
      <c r="B149" s="2" t="s">
        <v>548</v>
      </c>
      <c r="C149" s="6" t="s">
        <v>549</v>
      </c>
      <c r="D149" s="2" t="s">
        <v>550</v>
      </c>
      <c r="E149" s="2" t="s">
        <v>29</v>
      </c>
      <c r="F149" s="7">
        <v>42711</v>
      </c>
      <c r="G149" s="7">
        <v>42719</v>
      </c>
      <c r="H149" s="7">
        <v>42731</v>
      </c>
      <c r="I149" s="8">
        <v>2</v>
      </c>
      <c r="J149" s="9">
        <v>32</v>
      </c>
      <c r="K149" s="9">
        <v>15566</v>
      </c>
      <c r="L149" s="9">
        <v>486.4375</v>
      </c>
      <c r="M149" s="9">
        <v>14490</v>
      </c>
      <c r="N149" s="9">
        <v>452.8125</v>
      </c>
      <c r="O149" s="10" t="s">
        <v>551</v>
      </c>
      <c r="P149" s="9">
        <v>1076</v>
      </c>
      <c r="Q149" s="12">
        <v>6.91</v>
      </c>
      <c r="R149" s="2" t="s">
        <v>551</v>
      </c>
      <c r="S149" s="2" t="s">
        <v>552</v>
      </c>
      <c r="T149" s="11">
        <f>HYPERLINK("https://my.zakupki.prom.ua/cabinet/purchases/state_purchase/view/1123188")</f>
      </c>
      <c r="U149" s="2" t="s">
        <v>37</v>
      </c>
      <c r="V149" s="2" t="s">
        <v>59</v>
      </c>
      <c r="W149" s="9">
        <v>14490</v>
      </c>
      <c r="X149" s="2" t="s">
        <v>39</v>
      </c>
      <c r="Y149" s="2" t="s">
        <v>40</v>
      </c>
    </row>
    <row r="150" spans="1:25" ht="12.75">
      <c r="A150" s="5">
        <v>146</v>
      </c>
      <c r="B150" s="2" t="s">
        <v>553</v>
      </c>
      <c r="C150" s="6" t="s">
        <v>554</v>
      </c>
      <c r="D150" s="2" t="s">
        <v>555</v>
      </c>
      <c r="E150" s="2" t="s">
        <v>29</v>
      </c>
      <c r="F150" s="7">
        <v>42690</v>
      </c>
      <c r="G150" s="7">
        <v>42698</v>
      </c>
      <c r="H150" s="7">
        <v>42720</v>
      </c>
      <c r="I150" s="8">
        <v>1</v>
      </c>
      <c r="J150" s="9">
        <v>45</v>
      </c>
      <c r="K150" s="9">
        <v>16000</v>
      </c>
      <c r="L150" s="9">
        <v>355.55555555555554</v>
      </c>
      <c r="M150" s="9">
        <v>15950</v>
      </c>
      <c r="N150" s="9">
        <v>354.44444444444446</v>
      </c>
      <c r="O150" s="10" t="s">
        <v>556</v>
      </c>
      <c r="P150" s="9">
        <v>50</v>
      </c>
      <c r="Q150" s="12">
        <v>0.31</v>
      </c>
      <c r="R150" s="2" t="s">
        <v>556</v>
      </c>
      <c r="S150" s="2" t="s">
        <v>557</v>
      </c>
      <c r="T150" s="11">
        <f>HYPERLINK("https://my.zakupki.prom.ua/cabinet/purchases/state_purchase/view/924404")</f>
      </c>
      <c r="U150" s="2" t="s">
        <v>37</v>
      </c>
      <c r="V150" s="2" t="s">
        <v>151</v>
      </c>
      <c r="W150" s="9">
        <v>15950</v>
      </c>
      <c r="X150" s="2" t="s">
        <v>39</v>
      </c>
      <c r="Y150" s="2" t="s">
        <v>40</v>
      </c>
    </row>
    <row r="151" spans="1:25" ht="12.75">
      <c r="A151" s="5">
        <v>147</v>
      </c>
      <c r="B151" s="2" t="s">
        <v>558</v>
      </c>
      <c r="C151" s="6" t="s">
        <v>559</v>
      </c>
      <c r="D151" s="2" t="s">
        <v>560</v>
      </c>
      <c r="E151" s="2" t="s">
        <v>29</v>
      </c>
      <c r="F151" s="7">
        <v>42690</v>
      </c>
      <c r="G151" s="7">
        <v>42698</v>
      </c>
      <c r="H151" s="7">
        <v>42720</v>
      </c>
      <c r="I151" s="8">
        <v>1</v>
      </c>
      <c r="J151" s="9">
        <v>30</v>
      </c>
      <c r="K151" s="9">
        <v>16000</v>
      </c>
      <c r="L151" s="9">
        <v>533.3333333333334</v>
      </c>
      <c r="M151" s="9">
        <v>15950</v>
      </c>
      <c r="N151" s="9">
        <v>531.6666666666666</v>
      </c>
      <c r="O151" s="10" t="s">
        <v>556</v>
      </c>
      <c r="P151" s="9">
        <v>50</v>
      </c>
      <c r="Q151" s="12">
        <v>0.31</v>
      </c>
      <c r="R151" s="2" t="s">
        <v>556</v>
      </c>
      <c r="S151" s="2" t="s">
        <v>557</v>
      </c>
      <c r="T151" s="11">
        <f>HYPERLINK("https://my.zakupki.prom.ua/cabinet/purchases/state_purchase/view/925116")</f>
      </c>
      <c r="U151" s="2" t="s">
        <v>37</v>
      </c>
      <c r="V151" s="2" t="s">
        <v>59</v>
      </c>
      <c r="W151" s="9">
        <v>15950</v>
      </c>
      <c r="X151" s="2" t="s">
        <v>39</v>
      </c>
      <c r="Y151" s="2" t="s">
        <v>40</v>
      </c>
    </row>
    <row r="152" ht="12.75">
      <c r="A152" s="2" t="s">
        <v>561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