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L61" i="1" l="1"/>
  <c r="T58" i="1"/>
  <c r="S58" i="1"/>
  <c r="Q58" i="1"/>
  <c r="P58" i="1"/>
  <c r="P61" i="1" s="1"/>
  <c r="N58" i="1"/>
  <c r="M58" i="1"/>
  <c r="L58" i="1"/>
  <c r="J58" i="1"/>
  <c r="I58" i="1"/>
  <c r="H58" i="1"/>
  <c r="F58" i="1"/>
  <c r="E58" i="1"/>
  <c r="C58" i="1"/>
  <c r="C61" i="1" s="1"/>
  <c r="S5" i="1" s="1"/>
  <c r="G56" i="1"/>
  <c r="U55" i="1"/>
  <c r="O55" i="1"/>
  <c r="V55" i="1" s="1"/>
  <c r="W55" i="1" s="1"/>
  <c r="G55" i="1"/>
  <c r="U54" i="1"/>
  <c r="V54" i="1" s="1"/>
  <c r="W54" i="1" s="1"/>
  <c r="G54" i="1"/>
  <c r="G52" i="1"/>
  <c r="U53" i="1" s="1"/>
  <c r="V52" i="1" s="1"/>
  <c r="W52" i="1" s="1"/>
  <c r="U51" i="1"/>
  <c r="V51" i="1" s="1"/>
  <c r="W51" i="1" s="1"/>
  <c r="G51" i="1"/>
  <c r="U50" i="1"/>
  <c r="G50" i="1"/>
  <c r="O50" i="1" s="1"/>
  <c r="V50" i="1" s="1"/>
  <c r="W50" i="1" s="1"/>
  <c r="G49" i="1"/>
  <c r="U49" i="1" s="1"/>
  <c r="G48" i="1"/>
  <c r="G47" i="1"/>
  <c r="G45" i="1"/>
  <c r="U46" i="1" s="1"/>
  <c r="G44" i="1"/>
  <c r="U43" i="1"/>
  <c r="K43" i="1"/>
  <c r="K58" i="1" s="1"/>
  <c r="G43" i="1"/>
  <c r="G58" i="1" s="1"/>
  <c r="S42" i="1"/>
  <c r="R42" i="1"/>
  <c r="Q42" i="1"/>
  <c r="P42" i="1"/>
  <c r="O42" i="1"/>
  <c r="N42" i="1"/>
  <c r="M42" i="1"/>
  <c r="M61" i="1" s="1"/>
  <c r="L42" i="1"/>
  <c r="K42" i="1"/>
  <c r="I42" i="1"/>
  <c r="F42" i="1"/>
  <c r="C42" i="1"/>
  <c r="U41" i="1"/>
  <c r="V41" i="1" s="1"/>
  <c r="W41" i="1" s="1"/>
  <c r="G41" i="1"/>
  <c r="T40" i="1"/>
  <c r="T42" i="1" s="1"/>
  <c r="H40" i="1"/>
  <c r="E40" i="1"/>
  <c r="E42" i="1" s="1"/>
  <c r="G39" i="1"/>
  <c r="G38" i="1"/>
  <c r="H37" i="1"/>
  <c r="H42" i="1" s="1"/>
  <c r="E37" i="1"/>
  <c r="G37" i="1" s="1"/>
  <c r="U36" i="1"/>
  <c r="S36" i="1"/>
  <c r="S61" i="1" s="1"/>
  <c r="R36" i="1"/>
  <c r="P36" i="1"/>
  <c r="O36" i="1"/>
  <c r="N36" i="1"/>
  <c r="N61" i="1" s="1"/>
  <c r="M36" i="1"/>
  <c r="L36" i="1"/>
  <c r="K36" i="1"/>
  <c r="J36" i="1"/>
  <c r="F36" i="1"/>
  <c r="F61" i="1" s="1"/>
  <c r="C36" i="1"/>
  <c r="H35" i="1"/>
  <c r="G35" i="1"/>
  <c r="I35" i="1" s="1"/>
  <c r="V35" i="1" s="1"/>
  <c r="W35" i="1" s="1"/>
  <c r="E35" i="1"/>
  <c r="I34" i="1"/>
  <c r="H34" i="1"/>
  <c r="V34" i="1" s="1"/>
  <c r="W34" i="1" s="1"/>
  <c r="G34" i="1"/>
  <c r="E34" i="1"/>
  <c r="T33" i="1"/>
  <c r="T36" i="1" s="1"/>
  <c r="T61" i="1" s="1"/>
  <c r="Q33" i="1"/>
  <c r="Q36" i="1" s="1"/>
  <c r="Q61" i="1" s="1"/>
  <c r="N33" i="1"/>
  <c r="F33" i="1"/>
  <c r="G33" i="1" s="1"/>
  <c r="H32" i="1"/>
  <c r="E32" i="1"/>
  <c r="G32" i="1" s="1"/>
  <c r="E31" i="1"/>
  <c r="G31" i="1" s="1"/>
  <c r="I28" i="1"/>
  <c r="H28" i="1"/>
  <c r="V28" i="1" s="1"/>
  <c r="W28" i="1" s="1"/>
  <c r="G28" i="1"/>
  <c r="E28" i="1"/>
  <c r="H27" i="1"/>
  <c r="G27" i="1"/>
  <c r="I27" i="1" s="1"/>
  <c r="V27" i="1" s="1"/>
  <c r="W27" i="1" s="1"/>
  <c r="E27" i="1"/>
  <c r="H26" i="1"/>
  <c r="H33" i="1" s="1"/>
  <c r="E26" i="1"/>
  <c r="I32" i="1" l="1"/>
  <c r="V32" i="1" s="1"/>
  <c r="W32" i="1" s="1"/>
  <c r="K61" i="1"/>
  <c r="U37" i="1"/>
  <c r="I31" i="1"/>
  <c r="V31" i="1" s="1"/>
  <c r="W31" i="1" s="1"/>
  <c r="V33" i="1"/>
  <c r="W33" i="1" s="1"/>
  <c r="E33" i="1"/>
  <c r="E36" i="1" s="1"/>
  <c r="E61" i="1" s="1"/>
  <c r="I33" i="1"/>
  <c r="U38" i="1"/>
  <c r="V38" i="1" s="1"/>
  <c r="W38" i="1" s="1"/>
  <c r="U39" i="1"/>
  <c r="V39" i="1" s="1"/>
  <c r="W39" i="1" s="1"/>
  <c r="G40" i="1"/>
  <c r="U44" i="1"/>
  <c r="U58" i="1" s="1"/>
  <c r="V45" i="1"/>
  <c r="W45" i="1" s="1"/>
  <c r="R47" i="1"/>
  <c r="R58" i="1" s="1"/>
  <c r="R61" i="1" s="1"/>
  <c r="U56" i="1"/>
  <c r="V56" i="1" s="1"/>
  <c r="W56" i="1" s="1"/>
  <c r="H36" i="1"/>
  <c r="H61" i="1" s="1"/>
  <c r="V43" i="1"/>
  <c r="U47" i="1"/>
  <c r="U48" i="1"/>
  <c r="V48" i="1" s="1"/>
  <c r="W48" i="1" s="1"/>
  <c r="O49" i="1"/>
  <c r="G26" i="1"/>
  <c r="V44" i="1" l="1"/>
  <c r="W44" i="1" s="1"/>
  <c r="G36" i="1"/>
  <c r="I26" i="1"/>
  <c r="I36" i="1" s="1"/>
  <c r="I61" i="1" s="1"/>
  <c r="W43" i="1"/>
  <c r="U42" i="1"/>
  <c r="U61" i="1" s="1"/>
  <c r="V47" i="1"/>
  <c r="W47" i="1" s="1"/>
  <c r="O58" i="1"/>
  <c r="O61" i="1" s="1"/>
  <c r="V49" i="1"/>
  <c r="W49" i="1" s="1"/>
  <c r="V37" i="1"/>
  <c r="J40" i="1"/>
  <c r="J42" i="1" s="1"/>
  <c r="J61" i="1" s="1"/>
  <c r="V40" i="1"/>
  <c r="W40" i="1" s="1"/>
  <c r="G42" i="1"/>
  <c r="W37" i="1" l="1"/>
  <c r="W42" i="1" s="1"/>
  <c r="V42" i="1"/>
  <c r="G61" i="1"/>
  <c r="V58" i="1"/>
  <c r="V26" i="1"/>
  <c r="W58" i="1"/>
  <c r="W26" i="1" l="1"/>
  <c r="W36" i="1" s="1"/>
  <c r="W61" i="1" s="1"/>
  <c r="V36" i="1"/>
  <c r="V61" i="1" s="1"/>
</calcChain>
</file>

<file path=xl/sharedStrings.xml><?xml version="1.0" encoding="utf-8"?>
<sst xmlns="http://schemas.openxmlformats.org/spreadsheetml/2006/main" count="107" uniqueCount="99">
  <si>
    <t>Наказ Міністерства фінансів України</t>
  </si>
  <si>
    <t>ЗАТВЕРДЖУЮ</t>
  </si>
  <si>
    <t>Штат в кількості</t>
  </si>
  <si>
    <t>штатні одиниці</t>
  </si>
  <si>
    <t>із місячним фондом заробітної плати за</t>
  </si>
  <si>
    <t>посадовими окладами</t>
  </si>
  <si>
    <t>гривень</t>
  </si>
  <si>
    <t>Завідувач:</t>
  </si>
  <si>
    <t>підпис прізвище та ініціали</t>
  </si>
  <si>
    <t>Т.О.Ярошенко</t>
  </si>
  <si>
    <t>(число,місяць,рік) МП</t>
  </si>
  <si>
    <t>Штатний розпис  на 2020 рік</t>
  </si>
  <si>
    <t>Гордищенської ЗОШ №3 Городищенської районної ради</t>
  </si>
  <si>
    <t>Надбавки</t>
  </si>
  <si>
    <t>Доплати (грн.)</t>
  </si>
  <si>
    <t>№ п/п</t>
  </si>
  <si>
    <t>Назва структурного</t>
  </si>
  <si>
    <t>кількість</t>
  </si>
  <si>
    <t>тариф.</t>
  </si>
  <si>
    <t>посадовий</t>
  </si>
  <si>
    <t>За години</t>
  </si>
  <si>
    <t>Зар.плата</t>
  </si>
  <si>
    <t>вислуга</t>
  </si>
  <si>
    <t>доплата</t>
  </si>
  <si>
    <t>за</t>
  </si>
  <si>
    <t>класність</t>
  </si>
  <si>
    <t>шкідливі</t>
  </si>
  <si>
    <t>складність</t>
  </si>
  <si>
    <t>класне</t>
  </si>
  <si>
    <t>нічні</t>
  </si>
  <si>
    <t>інші</t>
  </si>
  <si>
    <t>фонд</t>
  </si>
  <si>
    <t>підрозділу та посад</t>
  </si>
  <si>
    <t>штатних</t>
  </si>
  <si>
    <t>розряд</t>
  </si>
  <si>
    <t>оклад</t>
  </si>
  <si>
    <t>на місяць</t>
  </si>
  <si>
    <t>надбавка</t>
  </si>
  <si>
    <t>дез.зас</t>
  </si>
  <si>
    <t>завід.</t>
  </si>
  <si>
    <t>перевірку</t>
  </si>
  <si>
    <t>умови</t>
  </si>
  <si>
    <t>та</t>
  </si>
  <si>
    <t>керівницт</t>
  </si>
  <si>
    <t>доплати</t>
  </si>
  <si>
    <t>до мінім.</t>
  </si>
  <si>
    <t>заробітної</t>
  </si>
  <si>
    <t>посад</t>
  </si>
  <si>
    <t>пед.працівни</t>
  </si>
  <si>
    <t>бібліотекарю</t>
  </si>
  <si>
    <t>оби</t>
  </si>
  <si>
    <t>кабінет.</t>
  </si>
  <si>
    <t>зошитів</t>
  </si>
  <si>
    <t>напружен</t>
  </si>
  <si>
    <t>во</t>
  </si>
  <si>
    <t>комп'ют.</t>
  </si>
  <si>
    <t>зар.пл.</t>
  </si>
  <si>
    <t>плати на</t>
  </si>
  <si>
    <t>кам</t>
  </si>
  <si>
    <t>ість</t>
  </si>
  <si>
    <t>місяць (грн.)</t>
  </si>
  <si>
    <t>рік (грн.)</t>
  </si>
  <si>
    <t>Директор</t>
  </si>
  <si>
    <t>Практичний психолог</t>
  </si>
  <si>
    <t>Заступник директора з</t>
  </si>
  <si>
    <t>навчально-виховної</t>
  </si>
  <si>
    <t>роботи</t>
  </si>
  <si>
    <t>Педагог-організатор</t>
  </si>
  <si>
    <t>Соціальний педагог</t>
  </si>
  <si>
    <t>Педагогічні працівники</t>
  </si>
  <si>
    <t>Вихователі</t>
  </si>
  <si>
    <t>Асистент учителя</t>
  </si>
  <si>
    <t>Всього педагогічні працівники</t>
  </si>
  <si>
    <t>Сестра медична</t>
  </si>
  <si>
    <t>Інженер-електронік</t>
  </si>
  <si>
    <t>Завідувач господарством</t>
  </si>
  <si>
    <t>Завідуюча бібліотекою</t>
  </si>
  <si>
    <t>Лаборант</t>
  </si>
  <si>
    <t>Всього спеціалісти</t>
  </si>
  <si>
    <t>Прибиральник службових приміщень</t>
  </si>
  <si>
    <t>Гардеробник</t>
  </si>
  <si>
    <t>Робітник з комплексного</t>
  </si>
  <si>
    <t>обслуговування й ремонту будівель</t>
  </si>
  <si>
    <t>Сторож</t>
  </si>
  <si>
    <t>Двірник</t>
  </si>
  <si>
    <t>Оператор котелень</t>
  </si>
  <si>
    <t>Оператор газової котельні сезонний</t>
  </si>
  <si>
    <t>Секретар-друкарка</t>
  </si>
  <si>
    <t>Електромонтер з ремонту</t>
  </si>
  <si>
    <t>та обслуговування електроустаткування</t>
  </si>
  <si>
    <t>Комірник</t>
  </si>
  <si>
    <t>Кухар</t>
  </si>
  <si>
    <t>Підсобний робітник</t>
  </si>
  <si>
    <t>Всього робітники</t>
  </si>
  <si>
    <t>Директор:</t>
  </si>
  <si>
    <t>Сиченко В.М.</t>
  </si>
  <si>
    <t>Головний бухгалтер:</t>
  </si>
  <si>
    <t>Посунько С.В.</t>
  </si>
  <si>
    <t>Вводиться в дію з 01.01.2020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</si>
</sst>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2" fontId="1" fillId="0" borderId="0" xfId="0" applyNumberFormat="1" applyFont="1" applyAlignment="1">
      <alignment horizontal="center"/>
    </xf>
    <xf numFmtId="2" fontId="1" fillId="0" borderId="0" xfId="0" applyNumberFormat="1" applyFont="1"/>
    <xf numFmtId="0" fontId="1" fillId="0" borderId="0" xfId="0" applyFont="1" applyBorder="1"/>
    <xf numFmtId="2" fontId="1" fillId="0" borderId="0" xfId="0" applyNumberFormat="1" applyFont="1" applyBorder="1"/>
    <xf numFmtId="2" fontId="0" fillId="0" borderId="0" xfId="0" applyNumberFormat="1"/>
    <xf numFmtId="2" fontId="1" fillId="0" borderId="0" xfId="0" applyNumberFormat="1" applyFont="1" applyAlignment="1"/>
    <xf numFmtId="2" fontId="2" fillId="0" borderId="0" xfId="0" applyNumberFormat="1" applyFont="1"/>
    <xf numFmtId="2" fontId="3" fillId="0" borderId="0" xfId="0" applyNumberFormat="1" applyFont="1" applyAlignment="1"/>
    <xf numFmtId="2" fontId="2" fillId="0" borderId="0" xfId="0" applyNumberFormat="1" applyFont="1" applyAlignment="1">
      <alignment horizontal="center"/>
    </xf>
    <xf numFmtId="2" fontId="4" fillId="0" borderId="1" xfId="0" applyNumberFormat="1" applyFont="1" applyBorder="1" applyAlignment="1">
      <alignment horizontal="left" vertical="top"/>
    </xf>
    <xf numFmtId="2" fontId="4" fillId="0" borderId="2" xfId="0" applyNumberFormat="1" applyFont="1" applyBorder="1" applyAlignment="1">
      <alignment horizontal="left" vertical="top"/>
    </xf>
    <xf numFmtId="2" fontId="4" fillId="0" borderId="3" xfId="0" applyNumberFormat="1" applyFont="1" applyBorder="1" applyAlignment="1">
      <alignment horizontal="left" vertical="top"/>
    </xf>
    <xf numFmtId="2" fontId="4" fillId="0" borderId="4" xfId="0" applyNumberFormat="1" applyFont="1" applyBorder="1" applyAlignment="1">
      <alignment horizontal="left" vertical="top"/>
    </xf>
    <xf numFmtId="2" fontId="4" fillId="0" borderId="5" xfId="0" applyNumberFormat="1" applyFont="1" applyBorder="1" applyAlignment="1">
      <alignment horizontal="left" vertical="top"/>
    </xf>
    <xf numFmtId="2" fontId="4" fillId="0" borderId="6" xfId="0" applyNumberFormat="1" applyFont="1" applyBorder="1" applyAlignment="1">
      <alignment horizontal="left" vertical="top"/>
    </xf>
    <xf numFmtId="2" fontId="4" fillId="0" borderId="7" xfId="0" applyNumberFormat="1" applyFont="1" applyBorder="1" applyAlignment="1">
      <alignment horizontal="left" vertical="top"/>
    </xf>
    <xf numFmtId="2" fontId="4" fillId="0" borderId="8" xfId="0" applyNumberFormat="1" applyFont="1" applyBorder="1" applyAlignment="1">
      <alignment horizontal="left" vertical="top"/>
    </xf>
    <xf numFmtId="2" fontId="4" fillId="0" borderId="9" xfId="0" applyNumberFormat="1" applyFont="1" applyBorder="1" applyAlignment="1">
      <alignment horizontal="left" vertical="top"/>
    </xf>
    <xf numFmtId="2" fontId="4" fillId="0" borderId="10" xfId="0" applyNumberFormat="1" applyFont="1" applyBorder="1" applyAlignment="1">
      <alignment horizontal="left" vertical="top"/>
    </xf>
    <xf numFmtId="2" fontId="4" fillId="0" borderId="11" xfId="0" applyNumberFormat="1" applyFont="1" applyBorder="1" applyAlignment="1">
      <alignment horizontal="left" vertical="top"/>
    </xf>
    <xf numFmtId="2" fontId="4" fillId="0" borderId="12" xfId="0" applyNumberFormat="1" applyFont="1" applyBorder="1" applyAlignment="1">
      <alignment horizontal="left" vertical="top"/>
    </xf>
    <xf numFmtId="2" fontId="4" fillId="0" borderId="14" xfId="0" applyNumberFormat="1" applyFont="1" applyBorder="1" applyAlignment="1">
      <alignment horizontal="left" vertical="top"/>
    </xf>
    <xf numFmtId="2" fontId="4" fillId="0" borderId="14" xfId="0" applyNumberFormat="1" applyFont="1" applyBorder="1" applyAlignment="1">
      <alignment horizontal="left" vertical="top"/>
    </xf>
    <xf numFmtId="2" fontId="4" fillId="0" borderId="16" xfId="0" applyNumberFormat="1" applyFont="1" applyBorder="1" applyAlignment="1">
      <alignment horizontal="left" vertical="top"/>
    </xf>
    <xf numFmtId="2" fontId="4" fillId="0" borderId="16" xfId="0" applyNumberFormat="1" applyFont="1" applyBorder="1" applyAlignment="1">
      <alignment horizontal="left" vertical="top"/>
    </xf>
    <xf numFmtId="2" fontId="4" fillId="0" borderId="18" xfId="0" applyNumberFormat="1" applyFont="1" applyBorder="1" applyAlignment="1">
      <alignment horizontal="left" vertical="top"/>
    </xf>
    <xf numFmtId="2" fontId="4" fillId="0" borderId="18" xfId="0" applyNumberFormat="1" applyFont="1" applyBorder="1" applyAlignment="1">
      <alignment horizontal="left" vertical="top"/>
    </xf>
    <xf numFmtId="2" fontId="5" fillId="0" borderId="12" xfId="0" applyNumberFormat="1" applyFont="1" applyBorder="1" applyAlignment="1">
      <alignment horizontal="left" vertical="top"/>
    </xf>
    <xf numFmtId="2" fontId="5" fillId="0" borderId="14" xfId="0" applyNumberFormat="1" applyFont="1" applyBorder="1" applyAlignment="1">
      <alignment horizontal="left" vertical="top"/>
    </xf>
    <xf numFmtId="0" fontId="4" fillId="0" borderId="5" xfId="0" applyNumberFormat="1" applyFont="1" applyBorder="1" applyAlignment="1">
      <alignment horizontal="left" vertical="top"/>
    </xf>
    <xf numFmtId="0" fontId="4" fillId="0" borderId="12" xfId="0" applyNumberFormat="1" applyFont="1" applyBorder="1" applyAlignment="1">
      <alignment horizontal="left" vertical="top"/>
    </xf>
    <xf numFmtId="0" fontId="4" fillId="0" borderId="13" xfId="0" applyNumberFormat="1" applyFont="1" applyBorder="1" applyAlignment="1">
      <alignment horizontal="left" vertical="top"/>
    </xf>
    <xf numFmtId="0" fontId="4" fillId="0" borderId="15" xfId="0" applyNumberFormat="1" applyFont="1" applyBorder="1" applyAlignment="1">
      <alignment horizontal="left" vertical="top"/>
    </xf>
    <xf numFmtId="0" fontId="4" fillId="0" borderId="17" xfId="0" applyNumberFormat="1" applyFont="1" applyBorder="1" applyAlignment="1">
      <alignment horizontal="left" vertical="top"/>
    </xf>
    <xf numFmtId="0" fontId="4" fillId="0" borderId="9" xfId="0" applyNumberFormat="1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&#1050;&#1086;&#1087;&#1080;&#1103;%20&#1050;&#1086;&#1087;&#1080;&#1103;%20&#1058;&#1040;&#1056;&#1048;&#1060;.1,01,2020/1.09.&#1043;&#1054;&#1056;&#1054;&#1044;.&#1047;&#1054;&#1064;%20&#8470;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&#1050;&#1086;&#1087;&#1080;&#1103;%20&#1050;&#1086;&#1087;&#1080;&#1103;%20&#1058;&#1040;&#1056;&#1048;&#1060;.1,01,2019/1.09.&#1043;&#1054;&#1056;&#1054;&#1044;.&#1047;&#1054;&#1064;%20&#8470;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>
        <row r="11">
          <cell r="Z11">
            <v>0.3</v>
          </cell>
          <cell r="AM11">
            <v>6936.6</v>
          </cell>
        </row>
        <row r="17">
          <cell r="Z17">
            <v>0.3</v>
          </cell>
          <cell r="AM17">
            <v>6589.77</v>
          </cell>
        </row>
        <row r="22">
          <cell r="Z22">
            <v>0.3</v>
          </cell>
          <cell r="AM22">
            <v>3294.89</v>
          </cell>
        </row>
        <row r="27">
          <cell r="Z27">
            <v>0.3</v>
          </cell>
          <cell r="AM27">
            <v>2624.6</v>
          </cell>
        </row>
        <row r="28">
          <cell r="I28">
            <v>5249.2</v>
          </cell>
        </row>
        <row r="31">
          <cell r="AM31">
            <v>4208.6000000000004</v>
          </cell>
        </row>
        <row r="36">
          <cell r="Z36">
            <v>0.3</v>
          </cell>
          <cell r="AM36">
            <v>3431.12</v>
          </cell>
        </row>
        <row r="41">
          <cell r="Z41">
            <v>0.3</v>
          </cell>
          <cell r="AM41">
            <v>3921.28</v>
          </cell>
        </row>
        <row r="87">
          <cell r="Z87">
            <v>0.2</v>
          </cell>
        </row>
        <row r="88">
          <cell r="AM88">
            <v>4901.6000000000004</v>
          </cell>
        </row>
        <row r="120">
          <cell r="Z120">
            <v>0.3</v>
          </cell>
        </row>
        <row r="121">
          <cell r="AM121">
            <v>3431.12</v>
          </cell>
        </row>
        <row r="172">
          <cell r="Z172">
            <v>0.3</v>
          </cell>
          <cell r="AM172">
            <v>2797.85</v>
          </cell>
        </row>
        <row r="180">
          <cell r="Z180">
            <v>0.3</v>
          </cell>
          <cell r="AM180">
            <v>1138.78</v>
          </cell>
        </row>
        <row r="192">
          <cell r="Z192">
            <v>0.3</v>
          </cell>
          <cell r="AM192">
            <v>3936.9</v>
          </cell>
        </row>
        <row r="205">
          <cell r="I205">
            <v>3636</v>
          </cell>
          <cell r="Z205">
            <v>0.3</v>
          </cell>
          <cell r="AD205">
            <v>363.6</v>
          </cell>
          <cell r="AM205">
            <v>3636</v>
          </cell>
        </row>
        <row r="209">
          <cell r="Z209">
            <v>0.3</v>
          </cell>
          <cell r="AM209">
            <v>2797.85</v>
          </cell>
        </row>
        <row r="213">
          <cell r="Z213">
            <v>0.2</v>
          </cell>
          <cell r="AM213">
            <v>3447</v>
          </cell>
        </row>
        <row r="222">
          <cell r="Z222">
            <v>0.3</v>
          </cell>
          <cell r="AM222">
            <v>3921.28</v>
          </cell>
        </row>
        <row r="226">
          <cell r="Z226">
            <v>0.2</v>
          </cell>
          <cell r="AM226">
            <v>4208.6000000000004</v>
          </cell>
        </row>
        <row r="232">
          <cell r="Z232">
            <v>0.2</v>
          </cell>
          <cell r="AM232">
            <v>4901.6000000000004</v>
          </cell>
        </row>
        <row r="240">
          <cell r="AM240">
            <v>3052.2</v>
          </cell>
        </row>
        <row r="245">
          <cell r="Q245">
            <v>202343.07</v>
          </cell>
          <cell r="W245">
            <v>2277.5500000000002</v>
          </cell>
          <cell r="AA245">
            <v>74964.34</v>
          </cell>
          <cell r="AB245">
            <v>24193.1</v>
          </cell>
          <cell r="AC245">
            <v>2941.25</v>
          </cell>
          <cell r="AD245">
            <v>363.6</v>
          </cell>
          <cell r="AE245">
            <v>363.6</v>
          </cell>
          <cell r="AF245">
            <v>54143.05</v>
          </cell>
          <cell r="AK245">
            <v>13908.04</v>
          </cell>
          <cell r="AM245">
            <v>73177.64</v>
          </cell>
          <cell r="AN245">
            <v>466987.08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>
        <row r="240">
          <cell r="Z240">
            <v>0.3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tabSelected="1" workbookViewId="0">
      <selection activeCell="AA25" sqref="AA25"/>
    </sheetView>
  </sheetViews>
  <sheetFormatPr defaultRowHeight="14.4" x14ac:dyDescent="0.3"/>
  <cols>
    <col min="1" max="1" width="9.33203125" bestFit="1" customWidth="1"/>
    <col min="2" max="2" width="31.5546875" customWidth="1"/>
    <col min="3" max="3" width="9.5546875" bestFit="1" customWidth="1"/>
    <col min="4" max="4" width="9.33203125" bestFit="1" customWidth="1"/>
    <col min="5" max="5" width="14" bestFit="1" customWidth="1"/>
    <col min="6" max="7" width="15.21875" bestFit="1" customWidth="1"/>
    <col min="8" max="8" width="12.88671875" bestFit="1" customWidth="1"/>
    <col min="9" max="9" width="14" bestFit="1" customWidth="1"/>
    <col min="10" max="10" width="10.77734375" bestFit="1" customWidth="1"/>
    <col min="11" max="11" width="12.6640625" bestFit="1" customWidth="1"/>
    <col min="12" max="12" width="14.6640625" bestFit="1" customWidth="1"/>
    <col min="13" max="13" width="9.33203125" bestFit="1" customWidth="1"/>
    <col min="14" max="14" width="14" bestFit="1" customWidth="1"/>
    <col min="15" max="15" width="10.77734375" bestFit="1" customWidth="1"/>
    <col min="16" max="16" width="9.33203125" bestFit="1" customWidth="1"/>
    <col min="17" max="17" width="14" bestFit="1" customWidth="1"/>
    <col min="18" max="18" width="12.6640625" bestFit="1" customWidth="1"/>
    <col min="19" max="19" width="12.44140625" bestFit="1" customWidth="1"/>
    <col min="20" max="21" width="14" bestFit="1" customWidth="1"/>
    <col min="22" max="22" width="15.21875" bestFit="1" customWidth="1"/>
    <col min="23" max="23" width="17.21875" bestFit="1" customWidth="1"/>
  </cols>
  <sheetData>
    <row r="1" spans="1:23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15.6" x14ac:dyDescent="0.3">
      <c r="A2" s="2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2"/>
    </row>
    <row r="3" spans="1:23" ht="15.6" x14ac:dyDescent="0.3">
      <c r="A3" s="2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 t="s">
        <v>0</v>
      </c>
      <c r="R3" s="6"/>
      <c r="S3" s="6"/>
      <c r="T3" s="6"/>
      <c r="U3" s="6"/>
      <c r="V3" s="6"/>
      <c r="W3" s="2"/>
    </row>
    <row r="4" spans="1:23" ht="15.6" x14ac:dyDescent="0.3">
      <c r="A4" s="2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 t="s">
        <v>1</v>
      </c>
      <c r="R4" s="6"/>
      <c r="S4" s="6"/>
      <c r="T4" s="6"/>
      <c r="U4" s="6"/>
      <c r="V4" s="6"/>
      <c r="W4" s="2"/>
    </row>
    <row r="5" spans="1:23" ht="15.6" x14ac:dyDescent="0.3">
      <c r="A5" s="2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 t="s">
        <v>2</v>
      </c>
      <c r="R5" s="6"/>
      <c r="S5" s="1">
        <f>C61</f>
        <v>75.58</v>
      </c>
      <c r="T5" s="6" t="s">
        <v>3</v>
      </c>
      <c r="U5" s="6"/>
      <c r="V5" s="6"/>
      <c r="W5" s="2"/>
    </row>
    <row r="6" spans="1:23" ht="15.6" x14ac:dyDescent="0.3">
      <c r="A6" s="2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 t="s">
        <v>4</v>
      </c>
      <c r="R6" s="6"/>
      <c r="S6" s="6"/>
      <c r="T6" s="6"/>
      <c r="U6" s="6"/>
      <c r="V6" s="6"/>
      <c r="W6" s="2"/>
    </row>
    <row r="7" spans="1:23" ht="15.6" x14ac:dyDescent="0.3">
      <c r="A7" s="2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 t="s">
        <v>5</v>
      </c>
      <c r="R7" s="6"/>
      <c r="S7" s="1">
        <v>583389.80000000005</v>
      </c>
      <c r="T7" s="6" t="s">
        <v>6</v>
      </c>
      <c r="U7" s="6"/>
      <c r="V7" s="6"/>
      <c r="W7" s="2"/>
    </row>
    <row r="8" spans="1:23" ht="15.6" x14ac:dyDescent="0.3">
      <c r="A8" s="2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2"/>
    </row>
    <row r="9" spans="1:23" ht="15.6" x14ac:dyDescent="0.3">
      <c r="A9" s="2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2"/>
    </row>
    <row r="10" spans="1:23" ht="15.6" x14ac:dyDescent="0.3">
      <c r="A10" s="2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 t="s">
        <v>7</v>
      </c>
      <c r="R10" s="6"/>
      <c r="S10" s="6"/>
      <c r="T10" s="6"/>
      <c r="U10" s="6"/>
      <c r="V10" s="6"/>
      <c r="W10" s="2"/>
    </row>
    <row r="11" spans="1:23" ht="15.6" x14ac:dyDescent="0.3">
      <c r="A11" s="2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 t="s">
        <v>8</v>
      </c>
      <c r="R11" s="6"/>
      <c r="S11" s="6"/>
      <c r="T11" s="6"/>
      <c r="U11" s="6"/>
      <c r="V11" s="6"/>
      <c r="W11" s="2" t="s">
        <v>9</v>
      </c>
    </row>
    <row r="12" spans="1:23" ht="15.6" x14ac:dyDescent="0.3">
      <c r="A12" s="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2"/>
    </row>
    <row r="13" spans="1:23" ht="15.6" x14ac:dyDescent="0.3">
      <c r="A13" s="2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 t="s">
        <v>10</v>
      </c>
      <c r="R13" s="6"/>
      <c r="S13" s="6"/>
      <c r="T13" s="6"/>
      <c r="U13" s="6"/>
      <c r="V13" s="6"/>
      <c r="W13" s="2"/>
    </row>
    <row r="14" spans="1:23" ht="17.399999999999999" x14ac:dyDescent="0.3">
      <c r="A14" s="6"/>
      <c r="B14" s="6"/>
      <c r="C14" s="6"/>
      <c r="D14" s="6"/>
      <c r="E14" s="6"/>
      <c r="F14" s="6"/>
      <c r="G14" s="6"/>
      <c r="H14" s="7"/>
      <c r="I14" s="7"/>
      <c r="J14" s="8" t="s">
        <v>11</v>
      </c>
      <c r="K14" s="8"/>
      <c r="L14" s="8"/>
      <c r="M14" s="8"/>
      <c r="N14" s="6"/>
      <c r="O14" s="6"/>
      <c r="P14" s="6"/>
      <c r="Q14" s="6"/>
      <c r="R14" s="6"/>
      <c r="S14" s="6"/>
      <c r="T14" s="6"/>
      <c r="U14" s="6"/>
      <c r="V14" s="6"/>
      <c r="W14" s="2"/>
    </row>
    <row r="15" spans="1:23" ht="17.399999999999999" x14ac:dyDescent="0.3">
      <c r="A15" s="6"/>
      <c r="B15" s="6"/>
      <c r="C15" s="6"/>
      <c r="D15" s="6"/>
      <c r="E15" s="6"/>
      <c r="F15" s="6"/>
      <c r="G15" s="6"/>
      <c r="H15" s="8" t="s">
        <v>12</v>
      </c>
      <c r="I15" s="7"/>
      <c r="J15" s="7"/>
      <c r="K15" s="7"/>
      <c r="L15" s="7"/>
      <c r="M15" s="7"/>
      <c r="N15" s="6"/>
      <c r="O15" s="6"/>
      <c r="P15" s="6"/>
      <c r="Q15" s="6"/>
      <c r="R15" s="6"/>
      <c r="S15" s="6"/>
      <c r="T15" s="6"/>
      <c r="U15" s="6"/>
      <c r="V15" s="6"/>
      <c r="W15" s="2"/>
    </row>
    <row r="16" spans="1:23" ht="17.399999999999999" x14ac:dyDescent="0.3">
      <c r="A16" s="6"/>
      <c r="B16" s="6"/>
      <c r="C16" s="6"/>
      <c r="D16" s="6"/>
      <c r="E16" s="2"/>
      <c r="F16" s="2"/>
      <c r="G16" s="2"/>
      <c r="H16" s="7"/>
      <c r="I16" s="9" t="s">
        <v>98</v>
      </c>
      <c r="J16" s="9"/>
      <c r="K16" s="9"/>
      <c r="L16" s="9"/>
      <c r="M16" s="9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15.6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15.6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6.2" thickBot="1" x14ac:dyDescent="0.3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16.2" thickBot="1" x14ac:dyDescent="0.35">
      <c r="A20" s="10"/>
      <c r="B20" s="10"/>
      <c r="C20" s="11"/>
      <c r="D20" s="10"/>
      <c r="E20" s="12"/>
      <c r="F20" s="10"/>
      <c r="G20" s="11"/>
      <c r="H20" s="11" t="s">
        <v>13</v>
      </c>
      <c r="I20" s="13"/>
      <c r="J20" s="11"/>
      <c r="K20" s="13"/>
      <c r="L20" s="13"/>
      <c r="M20" s="13"/>
      <c r="N20" s="13"/>
      <c r="O20" s="13" t="s">
        <v>14</v>
      </c>
      <c r="P20" s="13"/>
      <c r="Q20" s="13"/>
      <c r="R20" s="13"/>
      <c r="S20" s="13"/>
      <c r="T20" s="13"/>
      <c r="U20" s="14"/>
      <c r="V20" s="10"/>
      <c r="W20" s="10"/>
    </row>
    <row r="21" spans="1:23" ht="15.6" x14ac:dyDescent="0.3">
      <c r="A21" s="15" t="s">
        <v>15</v>
      </c>
      <c r="B21" s="15" t="s">
        <v>16</v>
      </c>
      <c r="C21" s="16" t="s">
        <v>17</v>
      </c>
      <c r="D21" s="15" t="s">
        <v>18</v>
      </c>
      <c r="E21" s="17" t="s">
        <v>19</v>
      </c>
      <c r="F21" s="15" t="s">
        <v>20</v>
      </c>
      <c r="G21" s="16" t="s">
        <v>21</v>
      </c>
      <c r="H21" s="10" t="s">
        <v>22</v>
      </c>
      <c r="I21" s="10">
        <v>0.2</v>
      </c>
      <c r="J21" s="10" t="s">
        <v>23</v>
      </c>
      <c r="K21" s="10" t="s">
        <v>24</v>
      </c>
      <c r="L21" s="10" t="s">
        <v>24</v>
      </c>
      <c r="M21" s="10" t="s">
        <v>25</v>
      </c>
      <c r="N21" s="10" t="s">
        <v>24</v>
      </c>
      <c r="O21" s="10" t="s">
        <v>26</v>
      </c>
      <c r="P21" s="10" t="s">
        <v>27</v>
      </c>
      <c r="Q21" s="10" t="s">
        <v>28</v>
      </c>
      <c r="R21" s="10" t="s">
        <v>29</v>
      </c>
      <c r="S21" s="10" t="s">
        <v>23</v>
      </c>
      <c r="T21" s="11" t="s">
        <v>30</v>
      </c>
      <c r="U21" s="15" t="s">
        <v>23</v>
      </c>
      <c r="V21" s="15" t="s">
        <v>31</v>
      </c>
      <c r="W21" s="15" t="s">
        <v>31</v>
      </c>
    </row>
    <row r="22" spans="1:23" ht="15.6" x14ac:dyDescent="0.3">
      <c r="A22" s="15"/>
      <c r="B22" s="15" t="s">
        <v>32</v>
      </c>
      <c r="C22" s="16" t="s">
        <v>33</v>
      </c>
      <c r="D22" s="15" t="s">
        <v>34</v>
      </c>
      <c r="E22" s="17" t="s">
        <v>35</v>
      </c>
      <c r="F22" s="15"/>
      <c r="G22" s="16" t="s">
        <v>36</v>
      </c>
      <c r="H22" s="15"/>
      <c r="I22" s="15" t="s">
        <v>37</v>
      </c>
      <c r="J22" s="15">
        <v>0.1</v>
      </c>
      <c r="K22" s="15" t="s">
        <v>38</v>
      </c>
      <c r="L22" s="15" t="s">
        <v>39</v>
      </c>
      <c r="M22" s="15"/>
      <c r="N22" s="15" t="s">
        <v>40</v>
      </c>
      <c r="O22" s="15" t="s">
        <v>41</v>
      </c>
      <c r="P22" s="15" t="s">
        <v>42</v>
      </c>
      <c r="Q22" s="15" t="s">
        <v>43</v>
      </c>
      <c r="R22" s="15"/>
      <c r="S22" s="15" t="s">
        <v>24</v>
      </c>
      <c r="T22" s="16" t="s">
        <v>44</v>
      </c>
      <c r="U22" s="15" t="s">
        <v>45</v>
      </c>
      <c r="V22" s="15" t="s">
        <v>46</v>
      </c>
      <c r="W22" s="15" t="s">
        <v>46</v>
      </c>
    </row>
    <row r="23" spans="1:23" ht="15.6" x14ac:dyDescent="0.3">
      <c r="A23" s="15"/>
      <c r="B23" s="15"/>
      <c r="C23" s="16" t="s">
        <v>47</v>
      </c>
      <c r="D23" s="15"/>
      <c r="E23" s="17"/>
      <c r="F23" s="15"/>
      <c r="G23" s="16"/>
      <c r="H23" s="15"/>
      <c r="I23" s="15" t="s">
        <v>48</v>
      </c>
      <c r="J23" s="15" t="s">
        <v>49</v>
      </c>
      <c r="K23" s="15" t="s">
        <v>50</v>
      </c>
      <c r="L23" s="15" t="s">
        <v>51</v>
      </c>
      <c r="M23" s="15"/>
      <c r="N23" s="15" t="s">
        <v>52</v>
      </c>
      <c r="O23" s="15"/>
      <c r="P23" s="15" t="s">
        <v>53</v>
      </c>
      <c r="Q23" s="15" t="s">
        <v>54</v>
      </c>
      <c r="R23" s="15"/>
      <c r="S23" s="15" t="s">
        <v>55</v>
      </c>
      <c r="T23" s="16"/>
      <c r="U23" s="15" t="s">
        <v>56</v>
      </c>
      <c r="V23" s="15" t="s">
        <v>57</v>
      </c>
      <c r="W23" s="15" t="s">
        <v>57</v>
      </c>
    </row>
    <row r="24" spans="1:23" ht="16.2" thickBot="1" x14ac:dyDescent="0.35">
      <c r="A24" s="18"/>
      <c r="B24" s="18"/>
      <c r="C24" s="19"/>
      <c r="D24" s="18"/>
      <c r="E24" s="20"/>
      <c r="F24" s="18"/>
      <c r="G24" s="19"/>
      <c r="H24" s="18"/>
      <c r="I24" s="18" t="s">
        <v>58</v>
      </c>
      <c r="J24" s="18"/>
      <c r="K24" s="18"/>
      <c r="L24" s="18"/>
      <c r="M24" s="18"/>
      <c r="N24" s="18"/>
      <c r="O24" s="18"/>
      <c r="P24" s="18" t="s">
        <v>59</v>
      </c>
      <c r="Q24" s="18"/>
      <c r="R24" s="18"/>
      <c r="S24" s="18"/>
      <c r="T24" s="19"/>
      <c r="U24" s="18"/>
      <c r="V24" s="18" t="s">
        <v>60</v>
      </c>
      <c r="W24" s="18" t="s">
        <v>61</v>
      </c>
    </row>
    <row r="25" spans="1:23" ht="16.2" thickBot="1" x14ac:dyDescent="0.35">
      <c r="A25" s="30">
        <v>1</v>
      </c>
      <c r="B25" s="30">
        <v>2</v>
      </c>
      <c r="C25" s="30">
        <v>3</v>
      </c>
      <c r="D25" s="35">
        <v>4</v>
      </c>
      <c r="E25" s="30">
        <v>5</v>
      </c>
      <c r="F25" s="30">
        <v>6</v>
      </c>
      <c r="G25" s="30">
        <v>7</v>
      </c>
      <c r="H25" s="35">
        <v>8</v>
      </c>
      <c r="I25" s="35">
        <v>9</v>
      </c>
      <c r="J25" s="35">
        <v>10</v>
      </c>
      <c r="K25" s="35">
        <v>11</v>
      </c>
      <c r="L25" s="35">
        <v>12</v>
      </c>
      <c r="M25" s="35">
        <v>13</v>
      </c>
      <c r="N25" s="35">
        <v>14</v>
      </c>
      <c r="O25" s="35">
        <v>15</v>
      </c>
      <c r="P25" s="35">
        <v>16</v>
      </c>
      <c r="Q25" s="35">
        <v>17</v>
      </c>
      <c r="R25" s="35">
        <v>18</v>
      </c>
      <c r="S25" s="35">
        <v>19</v>
      </c>
      <c r="T25" s="35">
        <v>20</v>
      </c>
      <c r="U25" s="35">
        <v>21</v>
      </c>
      <c r="V25" s="35">
        <v>21</v>
      </c>
      <c r="W25" s="35">
        <v>22</v>
      </c>
    </row>
    <row r="26" spans="1:23" ht="15.6" x14ac:dyDescent="0.3">
      <c r="A26" s="31">
        <v>1</v>
      </c>
      <c r="B26" s="21" t="s">
        <v>62</v>
      </c>
      <c r="C26" s="21">
        <v>1</v>
      </c>
      <c r="D26" s="21">
        <v>17</v>
      </c>
      <c r="E26" s="21">
        <f>[1]Лист3!$AM$11</f>
        <v>6936.6</v>
      </c>
      <c r="F26" s="21"/>
      <c r="G26" s="21">
        <f>C26*E26</f>
        <v>6936.6</v>
      </c>
      <c r="H26" s="21">
        <f>[1]Лист3!$AM$11*[1]Лист3!$Z$11</f>
        <v>2080.98</v>
      </c>
      <c r="I26" s="21">
        <f>G26*0.2</f>
        <v>1387.3200000000002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>
        <f>G26+H26+I26</f>
        <v>10404.9</v>
      </c>
      <c r="W26" s="21">
        <f>V26*12</f>
        <v>124858.79999999999</v>
      </c>
    </row>
    <row r="27" spans="1:23" ht="15.6" x14ac:dyDescent="0.3">
      <c r="A27" s="31">
        <v>2</v>
      </c>
      <c r="B27" s="21" t="s">
        <v>63</v>
      </c>
      <c r="C27" s="21">
        <v>0.5</v>
      </c>
      <c r="D27" s="21">
        <v>14</v>
      </c>
      <c r="E27" s="21">
        <f>G27/C27</f>
        <v>6104.4</v>
      </c>
      <c r="F27" s="21"/>
      <c r="G27" s="21">
        <f>[1]Лист3!$AM$240</f>
        <v>3052.2</v>
      </c>
      <c r="H27" s="21">
        <f>[1]Лист3!$AM$240*[2]Лист3!$Z$240</f>
        <v>915.66</v>
      </c>
      <c r="I27" s="21">
        <f>G27*0.2</f>
        <v>610.43999999999994</v>
      </c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>
        <f>G27+H27+I27</f>
        <v>4578.2999999999993</v>
      </c>
      <c r="W27" s="21">
        <f>V27*12</f>
        <v>54939.599999999991</v>
      </c>
    </row>
    <row r="28" spans="1:23" ht="15.6" x14ac:dyDescent="0.3">
      <c r="A28" s="32">
        <v>3</v>
      </c>
      <c r="B28" s="22" t="s">
        <v>64</v>
      </c>
      <c r="C28" s="23">
        <v>1.5</v>
      </c>
      <c r="D28" s="23"/>
      <c r="E28" s="23">
        <f>G28/C28</f>
        <v>6589.7733333333335</v>
      </c>
      <c r="F28" s="23"/>
      <c r="G28" s="23">
        <f>[1]Лист3!$AM$17+[1]Лист3!$AM$22</f>
        <v>9884.66</v>
      </c>
      <c r="H28" s="23">
        <f>[1]Лист3!$AM$17*[1]Лист3!$Z$17+[1]Лист3!$AM$22*[1]Лист3!$Z$22</f>
        <v>2965.3980000000001</v>
      </c>
      <c r="I28" s="23">
        <f>G28*0.2</f>
        <v>1976.932</v>
      </c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2"/>
      <c r="V28" s="23">
        <f>G28+H28+I28</f>
        <v>14826.990000000002</v>
      </c>
      <c r="W28" s="23">
        <f>V28*12</f>
        <v>177923.88</v>
      </c>
    </row>
    <row r="29" spans="1:23" ht="15.6" x14ac:dyDescent="0.3">
      <c r="A29" s="33"/>
      <c r="B29" s="24" t="s">
        <v>65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4"/>
      <c r="V29" s="25"/>
      <c r="W29" s="25"/>
    </row>
    <row r="30" spans="1:23" ht="15.6" x14ac:dyDescent="0.3">
      <c r="A30" s="34"/>
      <c r="B30" s="26" t="s">
        <v>66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6"/>
      <c r="V30" s="27"/>
      <c r="W30" s="27"/>
    </row>
    <row r="31" spans="1:23" ht="15.6" x14ac:dyDescent="0.3">
      <c r="A31" s="31">
        <v>4</v>
      </c>
      <c r="B31" s="26" t="s">
        <v>67</v>
      </c>
      <c r="C31" s="21">
        <v>1</v>
      </c>
      <c r="D31" s="21">
        <v>11</v>
      </c>
      <c r="E31" s="21">
        <f>[1]Лист3!$AM$31</f>
        <v>4208.6000000000004</v>
      </c>
      <c r="F31" s="21"/>
      <c r="G31" s="21">
        <f>C31*E31</f>
        <v>4208.6000000000004</v>
      </c>
      <c r="H31" s="21">
        <v>0</v>
      </c>
      <c r="I31" s="21">
        <f>G31*0.2</f>
        <v>841.72000000000014</v>
      </c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>
        <f>G31+H31+I31</f>
        <v>5050.3200000000006</v>
      </c>
      <c r="W31" s="21">
        <f>V31*12</f>
        <v>60603.840000000011</v>
      </c>
    </row>
    <row r="32" spans="1:23" ht="15.6" x14ac:dyDescent="0.3">
      <c r="A32" s="31">
        <v>5</v>
      </c>
      <c r="B32" s="21" t="s">
        <v>68</v>
      </c>
      <c r="C32" s="21">
        <v>0.5</v>
      </c>
      <c r="D32" s="21">
        <v>11</v>
      </c>
      <c r="E32" s="21">
        <f>[1]Лист3!$I$28</f>
        <v>5249.2</v>
      </c>
      <c r="F32" s="21"/>
      <c r="G32" s="21">
        <f>C32*E32</f>
        <v>2624.6</v>
      </c>
      <c r="H32" s="21">
        <f>[1]Лист3!$AM$27*[1]Лист3!$Z$27</f>
        <v>787.38</v>
      </c>
      <c r="I32" s="21">
        <f>G32*0.2</f>
        <v>524.91999999999996</v>
      </c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>
        <f>G32+H32+I32</f>
        <v>3936.9</v>
      </c>
      <c r="W32" s="21">
        <f>V32*12</f>
        <v>47242.8</v>
      </c>
    </row>
    <row r="33" spans="1:23" ht="15.6" x14ac:dyDescent="0.3">
      <c r="A33" s="31">
        <v>6</v>
      </c>
      <c r="B33" s="21" t="s">
        <v>69</v>
      </c>
      <c r="C33" s="21">
        <v>37.33</v>
      </c>
      <c r="D33" s="21"/>
      <c r="E33" s="21">
        <f>G33/C33</f>
        <v>5481.3988748995444</v>
      </c>
      <c r="F33" s="21">
        <f>[1]Лист3!$Q$245+[1]Лист3!$W$245</f>
        <v>204620.62</v>
      </c>
      <c r="G33" s="21">
        <f>F33</f>
        <v>204620.62</v>
      </c>
      <c r="H33" s="21">
        <f>[1]Лист3!$AA$245-H26-H27-H28-H31-H32-H34-H35-H37-H40</f>
        <v>56019.507999999987</v>
      </c>
      <c r="I33" s="21">
        <f>G33*0.2</f>
        <v>40924.124000000003</v>
      </c>
      <c r="J33" s="21"/>
      <c r="K33" s="21"/>
      <c r="L33" s="21"/>
      <c r="M33" s="21"/>
      <c r="N33" s="21">
        <f>[1]Лист3!$AN$245-[1]Лист3!$AM$245-[1]Лист3!$AK$245-[1]Лист3!$AF$245-[1]Лист3!$AE$245-[1]Лист3!$AD$245-[1]Лист3!$AC$245-[1]Лист3!$AB$245-[1]Лист3!$AA$245-[1]Лист3!$W$245-[1]Лист3!$Q$245</f>
        <v>18311.840000000113</v>
      </c>
      <c r="O33" s="21"/>
      <c r="P33" s="21"/>
      <c r="Q33" s="21">
        <f>[1]Лист3!$AB$245</f>
        <v>24193.1</v>
      </c>
      <c r="R33" s="21"/>
      <c r="S33" s="21"/>
      <c r="T33" s="21">
        <f>[1]Лист3!$AC$245+[1]Лист3!$AK$245</f>
        <v>16849.29</v>
      </c>
      <c r="U33" s="21"/>
      <c r="V33" s="21">
        <f>G33+H33+I33+L33+N33+Q33+S33+T33</f>
        <v>360918.48200000002</v>
      </c>
      <c r="W33" s="21">
        <f>V33*12</f>
        <v>4331021.784</v>
      </c>
    </row>
    <row r="34" spans="1:23" ht="15.6" x14ac:dyDescent="0.3">
      <c r="A34" s="31">
        <v>7</v>
      </c>
      <c r="B34" s="21" t="s">
        <v>70</v>
      </c>
      <c r="C34" s="21">
        <v>2</v>
      </c>
      <c r="D34" s="21"/>
      <c r="E34" s="21">
        <f>G34/C34</f>
        <v>5335.6900000000005</v>
      </c>
      <c r="F34" s="21"/>
      <c r="G34" s="21">
        <f>[1]Лист3!$AM$172+[1]Лист3!$AM$180+[1]Лист3!$AM$192+[1]Лист3!$AM$209</f>
        <v>10671.380000000001</v>
      </c>
      <c r="H34" s="21">
        <f>[1]Лист3!$AM$172*[1]Лист3!$Z$172+[1]Лист3!$AM$180*[1]Лист3!$Z$180+[1]Лист3!$AM$192*[1]Лист3!$Z$192+[1]Лист3!$AM$209*[1]Лист3!$Z$209</f>
        <v>3201.4139999999998</v>
      </c>
      <c r="I34" s="21">
        <f>G34*0.2</f>
        <v>2134.2760000000003</v>
      </c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>
        <f>G34+H34+I34</f>
        <v>16007.070000000002</v>
      </c>
      <c r="W34" s="21">
        <f>V34*12</f>
        <v>192084.84000000003</v>
      </c>
    </row>
    <row r="35" spans="1:23" ht="15.6" x14ac:dyDescent="0.3">
      <c r="A35" s="31">
        <v>8</v>
      </c>
      <c r="B35" s="21" t="s">
        <v>71</v>
      </c>
      <c r="C35" s="21">
        <v>6</v>
      </c>
      <c r="D35" s="21">
        <v>11</v>
      </c>
      <c r="E35" s="21">
        <f>G35/C35</f>
        <v>4786.0999999999995</v>
      </c>
      <c r="F35" s="21"/>
      <c r="G35" s="21">
        <f>[1]Лист3!$AM$41+[1]Лист3!$AM$36+[1]Лист3!$AM$222+[1]Лист3!$AM$232+[1]Лист3!$AM$226+[1]Лист3!$AM$121+[1]Лист3!$AM$88</f>
        <v>28716.6</v>
      </c>
      <c r="H35" s="21">
        <f>[1]Лист3!$AM$41*[1]Лист3!$Z$41+[1]Лист3!$AM$36*[1]Лист3!$Z$36+[1]Лист3!$AM$88*[1]Лист3!$Z$87+[1]Лист3!$AM$121*[1]Лист3!$Z$120+[1]Лист3!$AM$222*[1]Лист3!$Z$222+[1]Лист3!$AM$226*[1]Лист3!$Z$226+[1]Лист3!$AM$232*[1]Лист3!$Z$232</f>
        <v>7213.8000000000011</v>
      </c>
      <c r="I35" s="21">
        <f>G35*0.2</f>
        <v>5743.32</v>
      </c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>
        <f>G35+H35+I35</f>
        <v>41673.72</v>
      </c>
      <c r="W35" s="21">
        <f>V35*12</f>
        <v>500084.64</v>
      </c>
    </row>
    <row r="36" spans="1:23" ht="15.6" x14ac:dyDescent="0.3">
      <c r="A36" s="31"/>
      <c r="B36" s="28" t="s">
        <v>72</v>
      </c>
      <c r="C36" s="28">
        <f>C26+C27+C28+C31+C32+C33+C34+C35</f>
        <v>49.83</v>
      </c>
      <c r="D36" s="28"/>
      <c r="E36" s="28">
        <f t="shared" ref="E36:W36" si="0">E26+E27+E28+E31+E32+E33+E34+E35</f>
        <v>44691.762208232882</v>
      </c>
      <c r="F36" s="28">
        <f t="shared" si="0"/>
        <v>204620.62</v>
      </c>
      <c r="G36" s="28">
        <f t="shared" si="0"/>
        <v>270715.26</v>
      </c>
      <c r="H36" s="28">
        <f t="shared" si="0"/>
        <v>73184.139999999985</v>
      </c>
      <c r="I36" s="28">
        <f t="shared" si="0"/>
        <v>54143.052000000003</v>
      </c>
      <c r="J36" s="28">
        <f t="shared" si="0"/>
        <v>0</v>
      </c>
      <c r="K36" s="28">
        <f t="shared" si="0"/>
        <v>0</v>
      </c>
      <c r="L36" s="28">
        <f t="shared" si="0"/>
        <v>0</v>
      </c>
      <c r="M36" s="28">
        <f t="shared" si="0"/>
        <v>0</v>
      </c>
      <c r="N36" s="28">
        <f t="shared" si="0"/>
        <v>18311.840000000113</v>
      </c>
      <c r="O36" s="28">
        <f t="shared" si="0"/>
        <v>0</v>
      </c>
      <c r="P36" s="28">
        <f t="shared" si="0"/>
        <v>0</v>
      </c>
      <c r="Q36" s="28">
        <f t="shared" si="0"/>
        <v>24193.1</v>
      </c>
      <c r="R36" s="28">
        <f t="shared" si="0"/>
        <v>0</v>
      </c>
      <c r="S36" s="28">
        <f t="shared" si="0"/>
        <v>0</v>
      </c>
      <c r="T36" s="28">
        <f t="shared" si="0"/>
        <v>16849.29</v>
      </c>
      <c r="U36" s="28">
        <f t="shared" si="0"/>
        <v>0</v>
      </c>
      <c r="V36" s="28">
        <f t="shared" si="0"/>
        <v>457396.68200000003</v>
      </c>
      <c r="W36" s="28">
        <f t="shared" si="0"/>
        <v>5488760.1839999994</v>
      </c>
    </row>
    <row r="37" spans="1:23" ht="15.6" x14ac:dyDescent="0.3">
      <c r="A37" s="31">
        <v>9</v>
      </c>
      <c r="B37" s="21" t="s">
        <v>73</v>
      </c>
      <c r="C37" s="21">
        <v>1</v>
      </c>
      <c r="D37" s="21">
        <v>8</v>
      </c>
      <c r="E37" s="21">
        <f>[1]Лист3!$AM$213</f>
        <v>3447</v>
      </c>
      <c r="F37" s="21"/>
      <c r="G37" s="21">
        <f>C37*E37</f>
        <v>3447</v>
      </c>
      <c r="H37" s="21">
        <f>[1]Лист3!$AM$213*[1]Лист3!$Z$213</f>
        <v>689.40000000000009</v>
      </c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>
        <f>(4723*C37)-G37-H37</f>
        <v>586.59999999999991</v>
      </c>
      <c r="V37" s="21">
        <f>G37+H37+U37</f>
        <v>4723</v>
      </c>
      <c r="W37" s="21">
        <f>V37*12</f>
        <v>56676</v>
      </c>
    </row>
    <row r="38" spans="1:23" ht="15.6" x14ac:dyDescent="0.3">
      <c r="A38" s="31">
        <v>10</v>
      </c>
      <c r="B38" s="21" t="s">
        <v>74</v>
      </c>
      <c r="C38" s="21">
        <v>1</v>
      </c>
      <c r="D38" s="21">
        <v>7</v>
      </c>
      <c r="E38" s="21">
        <v>3237</v>
      </c>
      <c r="F38" s="21"/>
      <c r="G38" s="21">
        <f>C38*E38</f>
        <v>3237</v>
      </c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>
        <f>(4723*C38)-G38</f>
        <v>1486</v>
      </c>
      <c r="V38" s="21">
        <f>G38+U38</f>
        <v>4723</v>
      </c>
      <c r="W38" s="21">
        <f>V38*12</f>
        <v>56676</v>
      </c>
    </row>
    <row r="39" spans="1:23" ht="15.6" x14ac:dyDescent="0.3">
      <c r="A39" s="31">
        <v>11</v>
      </c>
      <c r="B39" s="21" t="s">
        <v>75</v>
      </c>
      <c r="C39" s="21">
        <v>1</v>
      </c>
      <c r="D39" s="21">
        <v>8</v>
      </c>
      <c r="E39" s="21">
        <v>3447</v>
      </c>
      <c r="F39" s="21"/>
      <c r="G39" s="21">
        <f>C39*E39</f>
        <v>3447</v>
      </c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>
        <f>(4723*C39)-G39</f>
        <v>1276</v>
      </c>
      <c r="V39" s="21">
        <f>G39+U39</f>
        <v>4723</v>
      </c>
      <c r="W39" s="21">
        <f>V39*12</f>
        <v>56676</v>
      </c>
    </row>
    <row r="40" spans="1:23" ht="15.6" x14ac:dyDescent="0.3">
      <c r="A40" s="31">
        <v>12</v>
      </c>
      <c r="B40" s="21" t="s">
        <v>76</v>
      </c>
      <c r="C40" s="21">
        <v>1</v>
      </c>
      <c r="D40" s="21">
        <v>9</v>
      </c>
      <c r="E40" s="21">
        <f>[1]Лист3!$I$205</f>
        <v>3636</v>
      </c>
      <c r="F40" s="21"/>
      <c r="G40" s="21">
        <f>C40*E40</f>
        <v>3636</v>
      </c>
      <c r="H40" s="21">
        <f>[1]Лист3!$AM$205*[1]Лист3!$Z$205</f>
        <v>1090.8</v>
      </c>
      <c r="I40" s="21"/>
      <c r="J40" s="21">
        <f>G40*0.1</f>
        <v>363.6</v>
      </c>
      <c r="K40" s="21"/>
      <c r="L40" s="21"/>
      <c r="M40" s="21"/>
      <c r="N40" s="21"/>
      <c r="O40" s="21"/>
      <c r="P40" s="21"/>
      <c r="Q40" s="21"/>
      <c r="R40" s="21"/>
      <c r="S40" s="21"/>
      <c r="T40" s="21">
        <f>[1]Лист3!$AD$205</f>
        <v>363.6</v>
      </c>
      <c r="U40" s="21"/>
      <c r="V40" s="21">
        <f>G40+H40+J40+T40</f>
        <v>5454.0000000000009</v>
      </c>
      <c r="W40" s="21">
        <f>V40*12</f>
        <v>65448.000000000015</v>
      </c>
    </row>
    <row r="41" spans="1:23" ht="15.6" x14ac:dyDescent="0.3">
      <c r="A41" s="31">
        <v>13</v>
      </c>
      <c r="B41" s="21" t="s">
        <v>77</v>
      </c>
      <c r="C41" s="21">
        <v>0.5</v>
      </c>
      <c r="D41" s="21">
        <v>5</v>
      </c>
      <c r="E41" s="21">
        <v>2859</v>
      </c>
      <c r="F41" s="21"/>
      <c r="G41" s="21">
        <f>C41*E41</f>
        <v>1429.5</v>
      </c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>
        <f>(4723*C41)-G41</f>
        <v>932</v>
      </c>
      <c r="V41" s="21">
        <f>G41+U41</f>
        <v>2361.5</v>
      </c>
      <c r="W41" s="21">
        <f>V41*12</f>
        <v>28338</v>
      </c>
    </row>
    <row r="42" spans="1:23" ht="15.6" x14ac:dyDescent="0.3">
      <c r="A42" s="31"/>
      <c r="B42" s="29" t="s">
        <v>78</v>
      </c>
      <c r="C42" s="28">
        <f>C37+C38+C39+C40+C41</f>
        <v>4.5</v>
      </c>
      <c r="D42" s="21"/>
      <c r="E42" s="28">
        <f>E37+E38+E39+E40+E41</f>
        <v>16626</v>
      </c>
      <c r="F42" s="28">
        <f t="shared" ref="F42:W42" si="1">F37+F38+F39+F40+F41</f>
        <v>0</v>
      </c>
      <c r="G42" s="28">
        <f t="shared" si="1"/>
        <v>15196.5</v>
      </c>
      <c r="H42" s="28">
        <f>H37+H38+H39+H40+H41</f>
        <v>1780.2</v>
      </c>
      <c r="I42" s="28">
        <f t="shared" si="1"/>
        <v>0</v>
      </c>
      <c r="J42" s="28">
        <f t="shared" si="1"/>
        <v>363.6</v>
      </c>
      <c r="K42" s="28">
        <f t="shared" si="1"/>
        <v>0</v>
      </c>
      <c r="L42" s="28">
        <f t="shared" si="1"/>
        <v>0</v>
      </c>
      <c r="M42" s="28">
        <f t="shared" si="1"/>
        <v>0</v>
      </c>
      <c r="N42" s="28">
        <f t="shared" si="1"/>
        <v>0</v>
      </c>
      <c r="O42" s="28">
        <f t="shared" si="1"/>
        <v>0</v>
      </c>
      <c r="P42" s="28">
        <f t="shared" si="1"/>
        <v>0</v>
      </c>
      <c r="Q42" s="28">
        <f t="shared" si="1"/>
        <v>0</v>
      </c>
      <c r="R42" s="28">
        <f t="shared" si="1"/>
        <v>0</v>
      </c>
      <c r="S42" s="28">
        <f t="shared" si="1"/>
        <v>0</v>
      </c>
      <c r="T42" s="28">
        <f t="shared" si="1"/>
        <v>363.6</v>
      </c>
      <c r="U42" s="28">
        <f t="shared" si="1"/>
        <v>4280.6000000000004</v>
      </c>
      <c r="V42" s="28">
        <f t="shared" si="1"/>
        <v>21984.5</v>
      </c>
      <c r="W42" s="28">
        <f t="shared" si="1"/>
        <v>263814</v>
      </c>
    </row>
    <row r="43" spans="1:23" ht="15.6" x14ac:dyDescent="0.3">
      <c r="A43" s="31">
        <v>14</v>
      </c>
      <c r="B43" s="21" t="s">
        <v>79</v>
      </c>
      <c r="C43" s="21">
        <v>10.25</v>
      </c>
      <c r="D43" s="21">
        <v>1</v>
      </c>
      <c r="E43" s="21">
        <v>2102</v>
      </c>
      <c r="F43" s="21"/>
      <c r="G43" s="21">
        <f>C43*E43</f>
        <v>21545.5</v>
      </c>
      <c r="H43" s="21"/>
      <c r="I43" s="21"/>
      <c r="J43" s="21"/>
      <c r="K43" s="21">
        <f>G43*0.1</f>
        <v>2154.5500000000002</v>
      </c>
      <c r="L43" s="21"/>
      <c r="M43" s="21"/>
      <c r="N43" s="21"/>
      <c r="O43" s="21"/>
      <c r="P43" s="21"/>
      <c r="Q43" s="21"/>
      <c r="R43" s="21"/>
      <c r="S43" s="21"/>
      <c r="T43" s="21"/>
      <c r="U43" s="21">
        <f>(4723*C43)-G43</f>
        <v>26865.25</v>
      </c>
      <c r="V43" s="21">
        <f>G43+K43+U43</f>
        <v>50565.3</v>
      </c>
      <c r="W43" s="21">
        <f>V43*12</f>
        <v>606783.60000000009</v>
      </c>
    </row>
    <row r="44" spans="1:23" ht="15.6" x14ac:dyDescent="0.3">
      <c r="A44" s="31">
        <v>15</v>
      </c>
      <c r="B44" s="22" t="s">
        <v>80</v>
      </c>
      <c r="C44" s="21">
        <v>1</v>
      </c>
      <c r="D44" s="21">
        <v>1</v>
      </c>
      <c r="E44" s="21">
        <v>2102</v>
      </c>
      <c r="F44" s="21"/>
      <c r="G44" s="21">
        <f>C44*E44</f>
        <v>2102</v>
      </c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>
        <f>(4723*C44)-G44</f>
        <v>2621</v>
      </c>
      <c r="V44" s="21">
        <f>G44+U44</f>
        <v>4723</v>
      </c>
      <c r="W44" s="21">
        <f>V44*12</f>
        <v>56676</v>
      </c>
    </row>
    <row r="45" spans="1:23" ht="15.6" x14ac:dyDescent="0.3">
      <c r="A45" s="32">
        <v>16</v>
      </c>
      <c r="B45" s="22" t="s">
        <v>81</v>
      </c>
      <c r="C45" s="23">
        <v>1</v>
      </c>
      <c r="D45" s="23">
        <v>3</v>
      </c>
      <c r="E45" s="23">
        <v>2480</v>
      </c>
      <c r="F45" s="23"/>
      <c r="G45" s="23">
        <f>C45*E45</f>
        <v>2480</v>
      </c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2"/>
      <c r="V45" s="23">
        <f>G45+U46</f>
        <v>4723</v>
      </c>
      <c r="W45" s="23">
        <f>V45*12</f>
        <v>56676</v>
      </c>
    </row>
    <row r="46" spans="1:23" ht="15.6" x14ac:dyDescent="0.3">
      <c r="A46" s="34"/>
      <c r="B46" s="26" t="s">
        <v>82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6">
        <f>(4723*C45)-G45</f>
        <v>2243</v>
      </c>
      <c r="V46" s="27"/>
      <c r="W46" s="27"/>
    </row>
    <row r="47" spans="1:23" ht="15.6" x14ac:dyDescent="0.3">
      <c r="A47" s="31">
        <v>17</v>
      </c>
      <c r="B47" s="26" t="s">
        <v>83</v>
      </c>
      <c r="C47" s="21">
        <v>2</v>
      </c>
      <c r="D47" s="21">
        <v>1</v>
      </c>
      <c r="E47" s="21">
        <v>2102</v>
      </c>
      <c r="F47" s="21"/>
      <c r="G47" s="21">
        <f t="shared" ref="G47:G52" si="2">C47*E47</f>
        <v>4204</v>
      </c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>
        <f>G47*0.3</f>
        <v>1261.2</v>
      </c>
      <c r="S47" s="21"/>
      <c r="T47" s="21"/>
      <c r="U47" s="21">
        <f>(4723*C47)-G47</f>
        <v>5242</v>
      </c>
      <c r="V47" s="21">
        <f>G47+R47+U47</f>
        <v>10707.2</v>
      </c>
      <c r="W47" s="21">
        <f t="shared" ref="W47:W52" si="3">V47*12</f>
        <v>128486.40000000001</v>
      </c>
    </row>
    <row r="48" spans="1:23" ht="15.6" x14ac:dyDescent="0.3">
      <c r="A48" s="31">
        <v>18</v>
      </c>
      <c r="B48" s="21" t="s">
        <v>84</v>
      </c>
      <c r="C48" s="21">
        <v>1</v>
      </c>
      <c r="D48" s="21">
        <v>1</v>
      </c>
      <c r="E48" s="21">
        <v>2102</v>
      </c>
      <c r="F48" s="21"/>
      <c r="G48" s="21">
        <f t="shared" si="2"/>
        <v>2102</v>
      </c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>
        <f>(4723*C48)-G48</f>
        <v>2621</v>
      </c>
      <c r="V48" s="21">
        <f>G48+U48</f>
        <v>4723</v>
      </c>
      <c r="W48" s="21">
        <f t="shared" si="3"/>
        <v>56676</v>
      </c>
    </row>
    <row r="49" spans="1:23" ht="15.6" x14ac:dyDescent="0.3">
      <c r="A49" s="31">
        <v>19</v>
      </c>
      <c r="B49" s="21" t="s">
        <v>85</v>
      </c>
      <c r="C49" s="21">
        <v>1</v>
      </c>
      <c r="D49" s="21">
        <v>4</v>
      </c>
      <c r="E49" s="21">
        <v>2670</v>
      </c>
      <c r="F49" s="21"/>
      <c r="G49" s="21">
        <f t="shared" si="2"/>
        <v>2670</v>
      </c>
      <c r="H49" s="21"/>
      <c r="I49" s="21"/>
      <c r="J49" s="21"/>
      <c r="K49" s="21"/>
      <c r="L49" s="21"/>
      <c r="M49" s="21"/>
      <c r="N49" s="21"/>
      <c r="O49" s="21">
        <f>G49*0.04/2</f>
        <v>53.4</v>
      </c>
      <c r="P49" s="21"/>
      <c r="Q49" s="21"/>
      <c r="R49" s="21"/>
      <c r="S49" s="21"/>
      <c r="T49" s="21"/>
      <c r="U49" s="21">
        <f>(4723*C49)-G49</f>
        <v>2053</v>
      </c>
      <c r="V49" s="21">
        <f>G49+O49+R49+U49</f>
        <v>4776.3999999999996</v>
      </c>
      <c r="W49" s="21">
        <f t="shared" si="3"/>
        <v>57316.799999999996</v>
      </c>
    </row>
    <row r="50" spans="1:23" ht="15.6" x14ac:dyDescent="0.3">
      <c r="A50" s="31">
        <v>20</v>
      </c>
      <c r="B50" s="21" t="s">
        <v>86</v>
      </c>
      <c r="C50" s="21">
        <v>0.5</v>
      </c>
      <c r="D50" s="21">
        <v>3</v>
      </c>
      <c r="E50" s="21">
        <v>2480</v>
      </c>
      <c r="F50" s="21"/>
      <c r="G50" s="21">
        <f t="shared" si="2"/>
        <v>1240</v>
      </c>
      <c r="H50" s="21"/>
      <c r="I50" s="21"/>
      <c r="J50" s="21"/>
      <c r="K50" s="21"/>
      <c r="L50" s="21"/>
      <c r="M50" s="21"/>
      <c r="N50" s="21"/>
      <c r="O50" s="21">
        <f>G50*0.04</f>
        <v>49.6</v>
      </c>
      <c r="P50" s="21"/>
      <c r="Q50" s="21"/>
      <c r="R50" s="21"/>
      <c r="S50" s="21"/>
      <c r="T50" s="21"/>
      <c r="U50" s="21">
        <f>(4723*C50)-G50</f>
        <v>1121.5</v>
      </c>
      <c r="V50" s="21">
        <f>G50+O50+R50+U50</f>
        <v>2411.1</v>
      </c>
      <c r="W50" s="21">
        <f t="shared" si="3"/>
        <v>28933.199999999997</v>
      </c>
    </row>
    <row r="51" spans="1:23" ht="15.6" x14ac:dyDescent="0.3">
      <c r="A51" s="31">
        <v>21</v>
      </c>
      <c r="B51" s="21" t="s">
        <v>87</v>
      </c>
      <c r="C51" s="21">
        <v>1</v>
      </c>
      <c r="D51" s="21">
        <v>5</v>
      </c>
      <c r="E51" s="21">
        <v>2859</v>
      </c>
      <c r="F51" s="21"/>
      <c r="G51" s="21">
        <f t="shared" si="2"/>
        <v>2859</v>
      </c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>
        <f>(4723*C51)-G51</f>
        <v>1864</v>
      </c>
      <c r="V51" s="21">
        <f>G51+U51</f>
        <v>4723</v>
      </c>
      <c r="W51" s="21">
        <f t="shared" si="3"/>
        <v>56676</v>
      </c>
    </row>
    <row r="52" spans="1:23" ht="15.6" x14ac:dyDescent="0.3">
      <c r="A52" s="32">
        <v>22</v>
      </c>
      <c r="B52" s="22" t="s">
        <v>88</v>
      </c>
      <c r="C52" s="23">
        <v>0.5</v>
      </c>
      <c r="D52" s="23">
        <v>2</v>
      </c>
      <c r="E52" s="23">
        <v>2291</v>
      </c>
      <c r="F52" s="23"/>
      <c r="G52" s="23">
        <f t="shared" si="2"/>
        <v>1145.5</v>
      </c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2"/>
      <c r="V52" s="23">
        <f>G52+U53</f>
        <v>2361.5</v>
      </c>
      <c r="W52" s="23">
        <f t="shared" si="3"/>
        <v>28338</v>
      </c>
    </row>
    <row r="53" spans="1:23" ht="15.6" x14ac:dyDescent="0.3">
      <c r="A53" s="34"/>
      <c r="B53" s="26" t="s">
        <v>89</v>
      </c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6">
        <f>(4723*C52)-G52</f>
        <v>1216</v>
      </c>
      <c r="V53" s="27"/>
      <c r="W53" s="27"/>
    </row>
    <row r="54" spans="1:23" ht="15.6" x14ac:dyDescent="0.3">
      <c r="A54" s="31">
        <v>23</v>
      </c>
      <c r="B54" s="26" t="s">
        <v>90</v>
      </c>
      <c r="C54" s="21">
        <v>0.5</v>
      </c>
      <c r="D54" s="21">
        <v>1</v>
      </c>
      <c r="E54" s="21">
        <v>2102</v>
      </c>
      <c r="F54" s="21"/>
      <c r="G54" s="21">
        <f>C54*E54</f>
        <v>1051</v>
      </c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>
        <f>(4723*C54)-G54</f>
        <v>1310.5</v>
      </c>
      <c r="V54" s="21">
        <f>G54+U54</f>
        <v>2361.5</v>
      </c>
      <c r="W54" s="21">
        <f>V54*12</f>
        <v>28338</v>
      </c>
    </row>
    <row r="55" spans="1:23" ht="15.6" x14ac:dyDescent="0.3">
      <c r="A55" s="31">
        <v>24</v>
      </c>
      <c r="B55" s="21" t="s">
        <v>91</v>
      </c>
      <c r="C55" s="21">
        <v>1.5</v>
      </c>
      <c r="D55" s="21">
        <v>1</v>
      </c>
      <c r="E55" s="21">
        <v>2102</v>
      </c>
      <c r="F55" s="21"/>
      <c r="G55" s="21">
        <f>C55*E55</f>
        <v>3153</v>
      </c>
      <c r="H55" s="21"/>
      <c r="I55" s="21"/>
      <c r="J55" s="21"/>
      <c r="K55" s="21"/>
      <c r="L55" s="21"/>
      <c r="M55" s="21"/>
      <c r="N55" s="21"/>
      <c r="O55" s="21">
        <f>G55*0.04</f>
        <v>126.12</v>
      </c>
      <c r="P55" s="21"/>
      <c r="Q55" s="21"/>
      <c r="R55" s="21"/>
      <c r="S55" s="21"/>
      <c r="T55" s="21"/>
      <c r="U55" s="21">
        <f>(4723*C55)-G55</f>
        <v>3931.5</v>
      </c>
      <c r="V55" s="21">
        <f>G55+O55+U55</f>
        <v>7210.62</v>
      </c>
      <c r="W55" s="21">
        <f>V55*12</f>
        <v>86527.44</v>
      </c>
    </row>
    <row r="56" spans="1:23" ht="15.6" x14ac:dyDescent="0.3">
      <c r="A56" s="31">
        <v>25</v>
      </c>
      <c r="B56" s="21" t="s">
        <v>92</v>
      </c>
      <c r="C56" s="21">
        <v>1</v>
      </c>
      <c r="D56" s="21">
        <v>1</v>
      </c>
      <c r="E56" s="21">
        <v>2102</v>
      </c>
      <c r="F56" s="21"/>
      <c r="G56" s="21">
        <f>C56*E56</f>
        <v>2102</v>
      </c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>
        <f>(4723*C56)-G56</f>
        <v>2621</v>
      </c>
      <c r="V56" s="21">
        <f>G56+U56</f>
        <v>4723</v>
      </c>
      <c r="W56" s="21">
        <f>V56*12</f>
        <v>56676</v>
      </c>
    </row>
    <row r="57" spans="1:23" ht="15.6" x14ac:dyDescent="0.3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</row>
    <row r="58" spans="1:23" ht="15.6" x14ac:dyDescent="0.3">
      <c r="A58" s="21"/>
      <c r="B58" s="28" t="s">
        <v>93</v>
      </c>
      <c r="C58" s="28">
        <f>C43+C44+C45+C47+C48+C49+C50+C51+C52+C54+C55+C56</f>
        <v>21.25</v>
      </c>
      <c r="D58" s="21"/>
      <c r="E58" s="28">
        <f t="shared" ref="E58:W58" si="4">E43+E44+E45+E47+E48+E49+E50+E51+E52+E54+E55+E56</f>
        <v>27494</v>
      </c>
      <c r="F58" s="28">
        <f t="shared" si="4"/>
        <v>0</v>
      </c>
      <c r="G58" s="28">
        <f t="shared" si="4"/>
        <v>46654</v>
      </c>
      <c r="H58" s="28">
        <f t="shared" si="4"/>
        <v>0</v>
      </c>
      <c r="I58" s="28">
        <f t="shared" si="4"/>
        <v>0</v>
      </c>
      <c r="J58" s="28">
        <f t="shared" si="4"/>
        <v>0</v>
      </c>
      <c r="K58" s="28">
        <f t="shared" si="4"/>
        <v>2154.5500000000002</v>
      </c>
      <c r="L58" s="28">
        <f t="shared" si="4"/>
        <v>0</v>
      </c>
      <c r="M58" s="28">
        <f t="shared" si="4"/>
        <v>0</v>
      </c>
      <c r="N58" s="28">
        <f t="shared" si="4"/>
        <v>0</v>
      </c>
      <c r="O58" s="28">
        <f t="shared" si="4"/>
        <v>229.12</v>
      </c>
      <c r="P58" s="28">
        <f t="shared" si="4"/>
        <v>0</v>
      </c>
      <c r="Q58" s="28">
        <f t="shared" si="4"/>
        <v>0</v>
      </c>
      <c r="R58" s="28">
        <f t="shared" si="4"/>
        <v>1261.2</v>
      </c>
      <c r="S58" s="28">
        <f t="shared" si="4"/>
        <v>0</v>
      </c>
      <c r="T58" s="28">
        <f t="shared" si="4"/>
        <v>0</v>
      </c>
      <c r="U58" s="28">
        <f>U43+U44+U45+U47+U48+U49+U50+U51+U52+U54+U55+U56+U46</f>
        <v>52493.75</v>
      </c>
      <c r="V58" s="28">
        <f t="shared" si="4"/>
        <v>104008.62</v>
      </c>
      <c r="W58" s="28">
        <f t="shared" si="4"/>
        <v>1248103.44</v>
      </c>
    </row>
    <row r="59" spans="1:23" ht="15.6" x14ac:dyDescent="0.3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</row>
    <row r="60" spans="1:23" ht="15.6" x14ac:dyDescent="0.3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</row>
    <row r="61" spans="1:23" ht="15.6" x14ac:dyDescent="0.3">
      <c r="A61" s="21"/>
      <c r="B61" s="21"/>
      <c r="C61" s="28">
        <f>C36+C42+C58</f>
        <v>75.58</v>
      </c>
      <c r="D61" s="21"/>
      <c r="E61" s="28">
        <f>E36+E42+E58</f>
        <v>88811.762208232889</v>
      </c>
      <c r="F61" s="28">
        <f t="shared" ref="F61:W61" si="5">F36+F42+F58</f>
        <v>204620.62</v>
      </c>
      <c r="G61" s="28">
        <f t="shared" si="5"/>
        <v>332565.76000000001</v>
      </c>
      <c r="H61" s="28">
        <f t="shared" si="5"/>
        <v>74964.339999999982</v>
      </c>
      <c r="I61" s="28">
        <f t="shared" si="5"/>
        <v>54143.052000000003</v>
      </c>
      <c r="J61" s="28">
        <f t="shared" si="5"/>
        <v>363.6</v>
      </c>
      <c r="K61" s="28">
        <f t="shared" si="5"/>
        <v>2154.5500000000002</v>
      </c>
      <c r="L61" s="28">
        <f t="shared" si="5"/>
        <v>0</v>
      </c>
      <c r="M61" s="28">
        <f t="shared" si="5"/>
        <v>0</v>
      </c>
      <c r="N61" s="28">
        <f t="shared" si="5"/>
        <v>18311.840000000113</v>
      </c>
      <c r="O61" s="28">
        <f t="shared" si="5"/>
        <v>229.12</v>
      </c>
      <c r="P61" s="28">
        <f t="shared" si="5"/>
        <v>0</v>
      </c>
      <c r="Q61" s="28">
        <f t="shared" si="5"/>
        <v>24193.1</v>
      </c>
      <c r="R61" s="28">
        <f t="shared" si="5"/>
        <v>1261.2</v>
      </c>
      <c r="S61" s="28">
        <f t="shared" si="5"/>
        <v>0</v>
      </c>
      <c r="T61" s="28">
        <f t="shared" si="5"/>
        <v>17212.89</v>
      </c>
      <c r="U61" s="28">
        <f t="shared" si="5"/>
        <v>56774.35</v>
      </c>
      <c r="V61" s="28">
        <f t="shared" si="5"/>
        <v>583389.80200000003</v>
      </c>
      <c r="W61" s="28">
        <f t="shared" si="5"/>
        <v>7000677.6239999998</v>
      </c>
    </row>
    <row r="62" spans="1:23" ht="15.6" x14ac:dyDescent="0.3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</row>
    <row r="63" spans="1:23" ht="15.6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ht="15.6" x14ac:dyDescent="0.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ht="15.6" x14ac:dyDescent="0.3">
      <c r="A65" s="4"/>
      <c r="B65" s="4" t="s">
        <v>94</v>
      </c>
      <c r="C65" s="4"/>
      <c r="D65" s="4"/>
      <c r="E65" s="4"/>
      <c r="F65" s="4"/>
      <c r="G65" s="4"/>
      <c r="H65" s="4" t="s">
        <v>95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ht="15.6" x14ac:dyDescent="0.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ht="15.6" x14ac:dyDescent="0.3">
      <c r="A67" s="3"/>
      <c r="B67" s="3" t="s">
        <v>96</v>
      </c>
      <c r="C67" s="3"/>
      <c r="D67" s="3"/>
      <c r="E67" s="3"/>
      <c r="F67" s="3"/>
      <c r="G67" s="3"/>
      <c r="H67" s="3" t="s">
        <v>97</v>
      </c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ht="15.6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</sheetData>
  <mergeCells count="64">
    <mergeCell ref="W52:W53"/>
    <mergeCell ref="I16:M16"/>
    <mergeCell ref="P52:P53"/>
    <mergeCell ref="Q52:Q53"/>
    <mergeCell ref="R52:R53"/>
    <mergeCell ref="S52:S53"/>
    <mergeCell ref="T52:T53"/>
    <mergeCell ref="V52:V53"/>
    <mergeCell ref="J52:J53"/>
    <mergeCell ref="K52:K53"/>
    <mergeCell ref="L52:L53"/>
    <mergeCell ref="M52:M53"/>
    <mergeCell ref="N52:N53"/>
    <mergeCell ref="O52:O53"/>
    <mergeCell ref="V45:V46"/>
    <mergeCell ref="W45:W46"/>
    <mergeCell ref="A52:A53"/>
    <mergeCell ref="C52:C53"/>
    <mergeCell ref="D52:D53"/>
    <mergeCell ref="E52:E53"/>
    <mergeCell ref="F52:F53"/>
    <mergeCell ref="G52:G53"/>
    <mergeCell ref="H52:H53"/>
    <mergeCell ref="I52:I53"/>
    <mergeCell ref="O45:O46"/>
    <mergeCell ref="P45:P46"/>
    <mergeCell ref="Q45:Q46"/>
    <mergeCell ref="R45:R46"/>
    <mergeCell ref="S45:S46"/>
    <mergeCell ref="T45:T46"/>
    <mergeCell ref="I45:I46"/>
    <mergeCell ref="J45:J46"/>
    <mergeCell ref="K45:K46"/>
    <mergeCell ref="L45:L46"/>
    <mergeCell ref="M45:M46"/>
    <mergeCell ref="N45:N46"/>
    <mergeCell ref="T28:T30"/>
    <mergeCell ref="V28:V30"/>
    <mergeCell ref="W28:W30"/>
    <mergeCell ref="A45:A46"/>
    <mergeCell ref="C45:C46"/>
    <mergeCell ref="D45:D46"/>
    <mergeCell ref="E45:E46"/>
    <mergeCell ref="F45:F46"/>
    <mergeCell ref="G45:G46"/>
    <mergeCell ref="H45:H46"/>
    <mergeCell ref="N28:N30"/>
    <mergeCell ref="O28:O30"/>
    <mergeCell ref="P28:P30"/>
    <mergeCell ref="Q28:Q30"/>
    <mergeCell ref="R28:R30"/>
    <mergeCell ref="S28:S30"/>
    <mergeCell ref="H28:H30"/>
    <mergeCell ref="I28:I30"/>
    <mergeCell ref="J28:J30"/>
    <mergeCell ref="K28:K30"/>
    <mergeCell ref="L28:L30"/>
    <mergeCell ref="M28:M30"/>
    <mergeCell ref="A28:A30"/>
    <mergeCell ref="C28:C30"/>
    <mergeCell ref="D28:D30"/>
    <mergeCell ref="E28:E30"/>
    <mergeCell ref="F28:F30"/>
    <mergeCell ref="G28:G3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2020-07-22T11:02:53Z</dcterms:modified>
</cp:coreProperties>
</file>