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>
    <definedName name="bookmark3" localSheetId="0">'Лист1'!$A$10</definedName>
    <definedName name="bookmark4" localSheetId="0">'Лист1'!$A$11</definedName>
    <definedName name="bookmark5" localSheetId="0">'Лист1'!$A$12</definedName>
    <definedName name="_xlnm.Print_Area" localSheetId="0">'Лист1'!$A$1:$AA$50</definedName>
  </definedNames>
  <calcPr fullCalcOnLoad="1"/>
</workbook>
</file>

<file path=xl/sharedStrings.xml><?xml version="1.0" encoding="utf-8"?>
<sst xmlns="http://schemas.openxmlformats.org/spreadsheetml/2006/main" count="67" uniqueCount="65">
  <si>
    <t>Штатний розпис</t>
  </si>
  <si>
    <t>Надбавки( грн).</t>
  </si>
  <si>
    <t>Доплати (грн.)</t>
  </si>
  <si>
    <t>Директор</t>
  </si>
  <si>
    <t>1210.1</t>
  </si>
  <si>
    <t>Педагог- організатор</t>
  </si>
  <si>
    <t>2359.2</t>
  </si>
  <si>
    <t>Вихователь</t>
  </si>
  <si>
    <t>Керівник музичний</t>
  </si>
  <si>
    <t>2455.2</t>
  </si>
  <si>
    <t>Сестра медична</t>
  </si>
  <si>
    <t>Сторож</t>
  </si>
  <si>
    <t>Помічник вихователя</t>
  </si>
  <si>
    <t>Машиніст із прання та ремонту спецодягу</t>
  </si>
  <si>
    <t>Кухар</t>
  </si>
  <si>
    <t>Підсобний робітник</t>
  </si>
  <si>
    <t>Комірник</t>
  </si>
  <si>
    <t>Двірник</t>
  </si>
  <si>
    <t>всього</t>
  </si>
  <si>
    <t>ЗАТВЕРДЖЕНО
Наказ Міністерства фінансів України
28 січня 2002 року №57
(у редакції накаазу Міністерства фінансів України
26 листопада 2012 №1220)</t>
  </si>
  <si>
    <t>№ з/п</t>
  </si>
  <si>
    <t>Назва структурного підрозділу та посад</t>
  </si>
  <si>
    <t>код за Класифікатором професій ДК 003:2010</t>
  </si>
  <si>
    <t>Кількість штатних одиниць</t>
  </si>
  <si>
    <t>Тарифний розряд</t>
  </si>
  <si>
    <t>Робітник з комплексно-го обслуго-вування і ремонту бу-дівель</t>
  </si>
  <si>
    <t>Прибиральник службо-вих примі-щень</t>
  </si>
  <si>
    <t xml:space="preserve">Заступник директора з виховної роботи </t>
  </si>
  <si>
    <t>грн.</t>
  </si>
  <si>
    <t>Разом</t>
  </si>
  <si>
    <t>КОМУНАЛЬНИЙ ЗАКЛАД "ПЕРЕКІПСЬКИЙ НАВЧАЛЬНО-ВИХОВНИЙ КОМПЛЕКС (ЗАГАЛЬНООСВІТНЯ ШКОЛА І-ІІ СТУПЕНІВ - ДОШКІЛЬНИЙ НАВЧАЛЬНИЙ ЗАКЛАД) ІМЕНІ ГЕРОЯ РАДЯНСЬКОГО СОЮЗУ ДМИТРА ПОГОДІНА ВАЛКІВСЬКОЇ МІСЬКОЇ РАДИ ХАРКІВСЬКОЇ ОБЛАСТІ</t>
  </si>
  <si>
    <t>Фонд заробітної плати на рік</t>
  </si>
  <si>
    <t>Фонд заробітної плати на місяць</t>
  </si>
  <si>
    <t>Головний бухгалтер                                                                      Тетяна МЕТЕЖ</t>
  </si>
  <si>
    <t>Посадовий оклад з підвищенням 10% ПКМУ №22 від 11.01.18</t>
  </si>
  <si>
    <t>за звання</t>
  </si>
  <si>
    <t>Заробітна плата з підвищенням</t>
  </si>
  <si>
    <t xml:space="preserve"> години </t>
  </si>
  <si>
    <t>години</t>
  </si>
  <si>
    <t>Вислуга років</t>
  </si>
  <si>
    <t>Престижність праці 5%-20%</t>
  </si>
  <si>
    <t>За особливі умови праці 15%</t>
  </si>
  <si>
    <t>за перевірку    зошитів</t>
  </si>
  <si>
    <t>за завіддування кабінетами</t>
  </si>
  <si>
    <t>За позакласну роботу</t>
  </si>
  <si>
    <t>за діловодство</t>
  </si>
  <si>
    <t xml:space="preserve">За шкідливі умови праці 8%,  </t>
  </si>
  <si>
    <t>за роботу з дез засобами 10% ;</t>
  </si>
  <si>
    <t>За шкідливі умови праці 12%</t>
  </si>
  <si>
    <t>книжковий фонд 15%,                        за класність</t>
  </si>
  <si>
    <t>за роботу в інклюзивних класах 20%</t>
  </si>
  <si>
    <t>Доплата до мінімальної заробітної плати</t>
  </si>
  <si>
    <t>за  підвищений ризик 20%</t>
  </si>
  <si>
    <t>Сертифікат</t>
  </si>
  <si>
    <t>класне керівництво</t>
  </si>
  <si>
    <t>нічні 40%</t>
  </si>
  <si>
    <t>Пед ставки вчителів  загальноосвітнього навчального закладу 1-4кл.</t>
  </si>
  <si>
    <t>Пед ставки вчителів  загальноосвітнього навчального закладу 5-9кл.</t>
  </si>
  <si>
    <t>на 01.06.2022 року</t>
  </si>
  <si>
    <t>Затверджую</t>
  </si>
  <si>
    <t xml:space="preserve">штат в кількості__________ </t>
  </si>
  <si>
    <t>штатних одиниць з місячним фондом</t>
  </si>
  <si>
    <t xml:space="preserve">заробітної плати </t>
  </si>
  <si>
    <t xml:space="preserve">Директор </t>
  </si>
  <si>
    <t>Анастасія ХАЛИМОН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</si>
</sst>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8"/>
      <color indexed="8"/>
      <name val="Arial"/>
      <family val="2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indexed="30"/>
      <name val="Arial Cyr"/>
      <family val="0"/>
    </font>
    <font>
      <sz val="7"/>
      <color indexed="8"/>
      <name val="Times New Roman"/>
      <family val="1"/>
    </font>
    <font>
      <sz val="7"/>
      <name val="Arial Cyr"/>
      <family val="0"/>
    </font>
    <font>
      <sz val="7"/>
      <color indexed="8"/>
      <name val="Century Schoolbook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7" fillId="33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 textRotation="90" wrapText="1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 horizontal="left"/>
    </xf>
    <xf numFmtId="2" fontId="2" fillId="0" borderId="12" xfId="0" applyNumberFormat="1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right" vertical="top" wrapText="1"/>
    </xf>
    <xf numFmtId="1" fontId="7" fillId="33" borderId="10" xfId="0" applyNumberFormat="1" applyFont="1" applyFill="1" applyBorder="1" applyAlignment="1">
      <alignment horizontal="right" vertical="top" wrapText="1"/>
    </xf>
    <xf numFmtId="2" fontId="11" fillId="33" borderId="10" xfId="0" applyNumberFormat="1" applyFont="1" applyFill="1" applyBorder="1" applyAlignment="1">
      <alignment horizontal="right" vertical="top" wrapText="1"/>
    </xf>
    <xf numFmtId="1" fontId="11" fillId="33" borderId="10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horizontal="right" vertical="top" wrapText="1"/>
    </xf>
    <xf numFmtId="2" fontId="11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9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top" wrapText="1"/>
    </xf>
    <xf numFmtId="2" fontId="11" fillId="0" borderId="13" xfId="0" applyNumberFormat="1" applyFont="1" applyFill="1" applyBorder="1" applyAlignment="1">
      <alignment horizontal="right" vertical="top" wrapText="1"/>
    </xf>
    <xf numFmtId="2" fontId="12" fillId="0" borderId="13" xfId="0" applyNumberFormat="1" applyFont="1" applyFill="1" applyBorder="1" applyAlignment="1">
      <alignment horizontal="right"/>
    </xf>
    <xf numFmtId="1" fontId="11" fillId="0" borderId="13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top" wrapText="1"/>
    </xf>
    <xf numFmtId="2" fontId="13" fillId="0" borderId="13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 wrapText="1"/>
    </xf>
    <xf numFmtId="1" fontId="12" fillId="0" borderId="10" xfId="0" applyNumberFormat="1" applyFont="1" applyFill="1" applyBorder="1" applyAlignment="1">
      <alignment horizontal="right" vertical="top" wrapText="1"/>
    </xf>
    <xf numFmtId="2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view="pageBreakPreview" zoomScale="106" zoomScaleSheetLayoutView="106" zoomScalePageLayoutView="0" workbookViewId="0" topLeftCell="A25">
      <selection activeCell="AD34" sqref="AD34"/>
    </sheetView>
  </sheetViews>
  <sheetFormatPr defaultColWidth="9.00390625" defaultRowHeight="12.75"/>
  <cols>
    <col min="1" max="1" width="3.375" style="0" customWidth="1"/>
    <col min="3" max="3" width="10.375" style="0" customWidth="1"/>
    <col min="4" max="4" width="5.125" style="0" customWidth="1"/>
    <col min="5" max="5" width="3.625" style="0" customWidth="1"/>
    <col min="6" max="6" width="4.75390625" style="0" customWidth="1"/>
    <col min="7" max="7" width="6.25390625" style="0" customWidth="1"/>
    <col min="8" max="8" width="3.875" style="0" customWidth="1"/>
    <col min="9" max="10" width="8.25390625" style="0" customWidth="1"/>
    <col min="11" max="11" width="7.375" style="0" customWidth="1"/>
    <col min="12" max="12" width="5.875" style="0" customWidth="1"/>
    <col min="13" max="13" width="6.625" style="0" customWidth="1"/>
    <col min="14" max="14" width="5.375" style="0" customWidth="1"/>
    <col min="15" max="15" width="4.25390625" style="0" customWidth="1"/>
    <col min="16" max="16" width="5.875" style="0" customWidth="1"/>
    <col min="17" max="17" width="6.625" style="0" customWidth="1"/>
    <col min="18" max="18" width="5.625" style="0" customWidth="1"/>
    <col min="19" max="20" width="6.625" style="0" customWidth="1"/>
    <col min="21" max="22" width="7.125" style="0" customWidth="1"/>
    <col min="23" max="23" width="6.75390625" style="0" customWidth="1"/>
    <col min="24" max="24" width="7.00390625" style="0" bestFit="1" customWidth="1"/>
    <col min="25" max="25" width="7.625" style="0" customWidth="1"/>
    <col min="26" max="26" width="9.125" style="24" customWidth="1"/>
    <col min="28" max="28" width="10.25390625" style="0" bestFit="1" customWidth="1"/>
    <col min="29" max="29" width="10.125" style="0" bestFit="1" customWidth="1"/>
  </cols>
  <sheetData>
    <row r="1" spans="1:27" ht="59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49" t="s">
        <v>19</v>
      </c>
      <c r="W1" s="49"/>
      <c r="X1" s="49"/>
      <c r="Y1" s="49"/>
      <c r="Z1" s="49"/>
      <c r="AA1" s="49"/>
    </row>
    <row r="2" spans="1:27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19"/>
      <c r="AA2" s="4"/>
    </row>
    <row r="3" spans="1:27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19"/>
      <c r="AA3" s="4"/>
    </row>
    <row r="4" spans="1:27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V4" s="30" t="s">
        <v>59</v>
      </c>
      <c r="W4" s="4"/>
      <c r="X4" s="4"/>
      <c r="Y4" s="4"/>
      <c r="Z4" s="19"/>
      <c r="AA4" s="4"/>
    </row>
    <row r="5" spans="1:27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V5" s="30" t="s">
        <v>60</v>
      </c>
      <c r="W5" s="4"/>
      <c r="X5" s="4"/>
      <c r="Y5" s="4">
        <f>D45</f>
        <v>23.45</v>
      </c>
      <c r="Z5" s="19"/>
      <c r="AA5" s="4"/>
    </row>
    <row r="6" spans="1:27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V6" s="30" t="s">
        <v>61</v>
      </c>
      <c r="W6" s="4"/>
      <c r="X6" s="4"/>
      <c r="Y6" s="4"/>
      <c r="Z6" s="19"/>
      <c r="AA6" s="4"/>
    </row>
    <row r="7" spans="1:2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V7" s="30" t="s">
        <v>62</v>
      </c>
      <c r="W7" s="4"/>
      <c r="X7" s="4"/>
      <c r="Y7" s="4"/>
      <c r="Z7" s="31">
        <f>Z31</f>
        <v>141924.062</v>
      </c>
      <c r="AA7" s="4" t="s">
        <v>28</v>
      </c>
    </row>
    <row r="8" spans="1:26" ht="12.75">
      <c r="A8" s="2"/>
      <c r="B8" s="2"/>
      <c r="C8" s="2"/>
      <c r="D8" s="2"/>
      <c r="E8" s="2"/>
      <c r="F8" s="2"/>
      <c r="G8" s="2"/>
      <c r="H8" s="2"/>
      <c r="I8" s="2"/>
      <c r="J8" s="2"/>
      <c r="K8" s="28"/>
      <c r="L8" s="28"/>
      <c r="M8" s="28"/>
      <c r="N8" s="28"/>
      <c r="O8" s="28"/>
      <c r="P8" s="28"/>
      <c r="Q8" s="28"/>
      <c r="R8" s="28"/>
      <c r="S8" s="28"/>
      <c r="T8" s="28"/>
      <c r="V8" s="30" t="s">
        <v>63</v>
      </c>
      <c r="W8" s="29"/>
      <c r="X8" s="32"/>
      <c r="Y8" s="50" t="s">
        <v>64</v>
      </c>
      <c r="Z8" s="50"/>
    </row>
    <row r="9" spans="1:27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0"/>
      <c r="AA9" s="11"/>
    </row>
    <row r="10" spans="1:27" ht="12.75">
      <c r="A10" s="1"/>
      <c r="B10" s="2"/>
      <c r="C10" s="2"/>
      <c r="D10" s="2"/>
      <c r="E10" s="2"/>
      <c r="F10" s="2"/>
      <c r="G10" s="2"/>
      <c r="H10" s="2"/>
      <c r="I10" s="51" t="s">
        <v>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2"/>
      <c r="W10" s="2"/>
      <c r="X10" s="2"/>
      <c r="Y10" s="2"/>
      <c r="Z10" s="21"/>
      <c r="AA10" s="2"/>
    </row>
    <row r="11" spans="1:27" ht="12.75">
      <c r="A11" s="1"/>
      <c r="B11" s="2"/>
      <c r="C11" s="2"/>
      <c r="D11" s="2"/>
      <c r="E11" s="2"/>
      <c r="F11" s="2"/>
      <c r="G11" s="9"/>
      <c r="H11" s="9"/>
      <c r="I11" s="51" t="s">
        <v>58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2"/>
      <c r="W11" s="2"/>
      <c r="X11" s="2"/>
      <c r="Y11" s="2"/>
      <c r="Z11" s="21"/>
      <c r="AA11" s="2"/>
    </row>
    <row r="12" spans="1:27" ht="29.25" customHeight="1">
      <c r="A12" s="12"/>
      <c r="C12" s="55" t="s">
        <v>30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33"/>
      <c r="AA12" s="13"/>
    </row>
    <row r="13" spans="1:27" ht="6" customHeight="1">
      <c r="A13" s="1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18"/>
    </row>
    <row r="14" spans="1:27" ht="12.75" customHeight="1">
      <c r="A14" s="58" t="s">
        <v>20</v>
      </c>
      <c r="B14" s="58" t="s">
        <v>21</v>
      </c>
      <c r="C14" s="58" t="s">
        <v>22</v>
      </c>
      <c r="D14" s="56" t="s">
        <v>23</v>
      </c>
      <c r="E14" s="56" t="s">
        <v>24</v>
      </c>
      <c r="F14" s="56" t="s">
        <v>38</v>
      </c>
      <c r="G14" s="56" t="s">
        <v>34</v>
      </c>
      <c r="H14" s="56" t="s">
        <v>35</v>
      </c>
      <c r="I14" s="56" t="s">
        <v>36</v>
      </c>
      <c r="J14" s="62" t="s">
        <v>1</v>
      </c>
      <c r="K14" s="62"/>
      <c r="L14" s="62"/>
      <c r="M14" s="52" t="s">
        <v>2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4"/>
      <c r="Z14" s="58" t="s">
        <v>32</v>
      </c>
      <c r="AA14" s="58" t="s">
        <v>31</v>
      </c>
    </row>
    <row r="15" spans="1:27" ht="50.25" customHeight="1">
      <c r="A15" s="58"/>
      <c r="B15" s="58"/>
      <c r="C15" s="58"/>
      <c r="D15" s="56"/>
      <c r="E15" s="56"/>
      <c r="F15" s="56" t="s">
        <v>37</v>
      </c>
      <c r="G15" s="56"/>
      <c r="H15" s="56"/>
      <c r="I15" s="56"/>
      <c r="J15" s="56" t="s">
        <v>39</v>
      </c>
      <c r="K15" s="56" t="s">
        <v>40</v>
      </c>
      <c r="L15" s="56" t="s">
        <v>41</v>
      </c>
      <c r="M15" s="56" t="s">
        <v>42</v>
      </c>
      <c r="N15" s="56" t="s">
        <v>43</v>
      </c>
      <c r="O15" s="56" t="s">
        <v>44</v>
      </c>
      <c r="P15" s="56" t="s">
        <v>45</v>
      </c>
      <c r="Q15" s="56" t="s">
        <v>46</v>
      </c>
      <c r="R15" s="56" t="s">
        <v>47</v>
      </c>
      <c r="S15" s="56" t="s">
        <v>48</v>
      </c>
      <c r="T15" s="56" t="s">
        <v>49</v>
      </c>
      <c r="U15" s="56" t="s">
        <v>50</v>
      </c>
      <c r="V15" s="56" t="s">
        <v>51</v>
      </c>
      <c r="W15" s="56" t="s">
        <v>52</v>
      </c>
      <c r="X15" s="27" t="s">
        <v>53</v>
      </c>
      <c r="Y15" s="56" t="s">
        <v>54</v>
      </c>
      <c r="Z15" s="58"/>
      <c r="AA15" s="58"/>
    </row>
    <row r="16" spans="1:27" ht="48" customHeight="1">
      <c r="A16" s="58"/>
      <c r="B16" s="58"/>
      <c r="C16" s="5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27" t="s">
        <v>55</v>
      </c>
      <c r="Y16" s="56"/>
      <c r="Z16" s="58"/>
      <c r="AA16" s="58"/>
    </row>
    <row r="17" spans="1:27" ht="12.75">
      <c r="A17" s="35">
        <v>1</v>
      </c>
      <c r="B17" s="35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35">
        <v>14</v>
      </c>
      <c r="O17" s="35">
        <v>15</v>
      </c>
      <c r="P17" s="35">
        <v>16</v>
      </c>
      <c r="Q17" s="35">
        <v>17</v>
      </c>
      <c r="R17" s="35">
        <v>18</v>
      </c>
      <c r="S17" s="35">
        <v>19</v>
      </c>
      <c r="T17" s="35">
        <v>20</v>
      </c>
      <c r="U17" s="35">
        <v>21</v>
      </c>
      <c r="V17" s="35">
        <v>22</v>
      </c>
      <c r="W17" s="35">
        <v>23</v>
      </c>
      <c r="X17" s="35">
        <v>24</v>
      </c>
      <c r="Y17" s="35">
        <v>25</v>
      </c>
      <c r="Z17" s="35">
        <v>26</v>
      </c>
      <c r="AA17" s="35">
        <v>27</v>
      </c>
    </row>
    <row r="18" spans="1:27" ht="12.75">
      <c r="A18" s="36">
        <v>1</v>
      </c>
      <c r="B18" s="37" t="s">
        <v>3</v>
      </c>
      <c r="C18" s="38" t="s">
        <v>4</v>
      </c>
      <c r="D18" s="38">
        <v>1</v>
      </c>
      <c r="E18" s="39">
        <v>15</v>
      </c>
      <c r="F18" s="39"/>
      <c r="G18" s="40">
        <v>8210.4</v>
      </c>
      <c r="H18" s="40"/>
      <c r="I18" s="40">
        <f>G18*D18</f>
        <v>8210.4</v>
      </c>
      <c r="J18" s="40">
        <f>G18*10%</f>
        <v>821.04</v>
      </c>
      <c r="K18" s="40">
        <f>I18*20%</f>
        <v>1642.08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3">
        <f>SUM(I18:Y18)</f>
        <v>10673.519999999999</v>
      </c>
      <c r="AA18" s="41">
        <f aca="true" t="shared" si="0" ref="AA18:AA30">Z18*12</f>
        <v>128082.23999999999</v>
      </c>
    </row>
    <row r="19" spans="1:27" ht="42">
      <c r="A19" s="36">
        <v>2</v>
      </c>
      <c r="B19" s="37" t="s">
        <v>27</v>
      </c>
      <c r="C19" s="38" t="s">
        <v>4</v>
      </c>
      <c r="D19" s="38">
        <v>0.5</v>
      </c>
      <c r="E19" s="41"/>
      <c r="F19" s="41"/>
      <c r="G19" s="40">
        <v>7780</v>
      </c>
      <c r="H19" s="40"/>
      <c r="I19" s="40">
        <f>G19*D19</f>
        <v>3890</v>
      </c>
      <c r="J19" s="40">
        <f>I19*30%</f>
        <v>1167</v>
      </c>
      <c r="K19" s="40">
        <f>I19*20%</f>
        <v>778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3">
        <f>SUM(I19:Y19)</f>
        <v>5835</v>
      </c>
      <c r="AA19" s="41">
        <f t="shared" si="0"/>
        <v>70020</v>
      </c>
    </row>
    <row r="20" spans="1:28" ht="21">
      <c r="A20" s="36">
        <v>3</v>
      </c>
      <c r="B20" s="37" t="s">
        <v>5</v>
      </c>
      <c r="C20" s="38" t="s">
        <v>6</v>
      </c>
      <c r="D20" s="38">
        <v>0.25</v>
      </c>
      <c r="E20" s="39">
        <v>11</v>
      </c>
      <c r="F20" s="39"/>
      <c r="G20" s="40">
        <v>6268.9</v>
      </c>
      <c r="H20" s="40"/>
      <c r="I20" s="40">
        <f>ROUNDDOWN((G20*D20),2)</f>
        <v>1567.22</v>
      </c>
      <c r="J20" s="40">
        <f>I20*10%</f>
        <v>156.722</v>
      </c>
      <c r="K20" s="40">
        <f>ROUNDDOWN((I20*5%),2)</f>
        <v>78.36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3">
        <f>SUM(I20:Y20)</f>
        <v>1802.302</v>
      </c>
      <c r="AA20" s="41">
        <f t="shared" si="0"/>
        <v>21627.624</v>
      </c>
      <c r="AB20" s="7"/>
    </row>
    <row r="21" spans="1:47" s="24" customFormat="1" ht="12.75">
      <c r="A21" s="63">
        <v>4</v>
      </c>
      <c r="B21" s="64" t="s">
        <v>56</v>
      </c>
      <c r="C21" s="65">
        <v>2320</v>
      </c>
      <c r="D21" s="65">
        <v>4.22</v>
      </c>
      <c r="E21" s="66">
        <v>10</v>
      </c>
      <c r="F21" s="67">
        <f>18</f>
        <v>18</v>
      </c>
      <c r="G21" s="68">
        <v>5791.5</v>
      </c>
      <c r="H21" s="68"/>
      <c r="I21" s="68">
        <f>G21/18*F21</f>
        <v>5791.5</v>
      </c>
      <c r="J21" s="68">
        <f>0</f>
        <v>0</v>
      </c>
      <c r="K21" s="68">
        <f>I21*20%</f>
        <v>1158.3</v>
      </c>
      <c r="L21" s="68"/>
      <c r="M21" s="68">
        <f>434.36</f>
        <v>434.36</v>
      </c>
      <c r="N21" s="43"/>
      <c r="O21" s="43"/>
      <c r="P21" s="43"/>
      <c r="Q21" s="43"/>
      <c r="R21" s="43"/>
      <c r="S21" s="43"/>
      <c r="T21" s="68"/>
      <c r="U21" s="43"/>
      <c r="V21" s="43"/>
      <c r="W21" s="43"/>
      <c r="X21" s="43"/>
      <c r="Y21" s="43">
        <v>0</v>
      </c>
      <c r="Z21" s="69">
        <f>ROUNDUP(SUM(I21:Y21),2)</f>
        <v>7384.16</v>
      </c>
      <c r="AA21" s="70">
        <f t="shared" si="0"/>
        <v>88609.92</v>
      </c>
      <c r="AB21" s="71"/>
      <c r="AC21" s="71">
        <f>AC20-AC19</f>
        <v>0</v>
      </c>
      <c r="AD21" s="71">
        <f aca="true" t="shared" si="1" ref="AD21:AU21">AD20-AD19</f>
        <v>0</v>
      </c>
      <c r="AE21" s="71">
        <f t="shared" si="1"/>
        <v>0</v>
      </c>
      <c r="AF21" s="71">
        <f t="shared" si="1"/>
        <v>0</v>
      </c>
      <c r="AG21" s="71">
        <f t="shared" si="1"/>
        <v>0</v>
      </c>
      <c r="AH21" s="71">
        <f t="shared" si="1"/>
        <v>0</v>
      </c>
      <c r="AI21" s="71">
        <f t="shared" si="1"/>
        <v>0</v>
      </c>
      <c r="AJ21" s="71">
        <f t="shared" si="1"/>
        <v>0</v>
      </c>
      <c r="AK21" s="71">
        <f t="shared" si="1"/>
        <v>0</v>
      </c>
      <c r="AL21" s="71">
        <f t="shared" si="1"/>
        <v>0</v>
      </c>
      <c r="AM21" s="71">
        <f t="shared" si="1"/>
        <v>0</v>
      </c>
      <c r="AN21" s="71">
        <f t="shared" si="1"/>
        <v>0</v>
      </c>
      <c r="AO21" s="71">
        <f t="shared" si="1"/>
        <v>0</v>
      </c>
      <c r="AP21" s="71">
        <f t="shared" si="1"/>
        <v>0</v>
      </c>
      <c r="AQ21" s="71">
        <f t="shared" si="1"/>
        <v>0</v>
      </c>
      <c r="AR21" s="71">
        <f t="shared" si="1"/>
        <v>0</v>
      </c>
      <c r="AS21" s="71">
        <f t="shared" si="1"/>
        <v>0</v>
      </c>
      <c r="AT21" s="71">
        <f t="shared" si="1"/>
        <v>0</v>
      </c>
      <c r="AU21" s="71">
        <f t="shared" si="1"/>
        <v>0</v>
      </c>
    </row>
    <row r="22" spans="1:27" s="24" customFormat="1" ht="12.75">
      <c r="A22" s="72"/>
      <c r="B22" s="73"/>
      <c r="C22" s="74"/>
      <c r="D22" s="74"/>
      <c r="E22" s="66">
        <v>11</v>
      </c>
      <c r="F22" s="75">
        <f>0</f>
        <v>0</v>
      </c>
      <c r="G22" s="68">
        <v>6268.9</v>
      </c>
      <c r="H22" s="68">
        <f>0</f>
        <v>0</v>
      </c>
      <c r="I22" s="68">
        <f>ROUNDDOWN((G22/18*F22+H22),2)</f>
        <v>0</v>
      </c>
      <c r="J22" s="68">
        <f>0</f>
        <v>0</v>
      </c>
      <c r="K22" s="68">
        <f>ROUNDUP((I22*20%),2)</f>
        <v>0</v>
      </c>
      <c r="L22" s="68"/>
      <c r="M22" s="68">
        <f>0</f>
        <v>0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68">
        <f>0</f>
        <v>0</v>
      </c>
      <c r="Z22" s="69">
        <f>ROUNDUP(SUM(I22:Y22),2)</f>
        <v>0</v>
      </c>
      <c r="AA22" s="70">
        <f t="shared" si="0"/>
        <v>0</v>
      </c>
    </row>
    <row r="23" spans="1:27" s="24" customFormat="1" ht="12.75">
      <c r="A23" s="72"/>
      <c r="B23" s="73"/>
      <c r="C23" s="74"/>
      <c r="D23" s="74"/>
      <c r="E23" s="66">
        <v>12</v>
      </c>
      <c r="F23" s="75">
        <f>13.5</f>
        <v>13.5</v>
      </c>
      <c r="G23" s="68">
        <v>6746.3</v>
      </c>
      <c r="H23" s="68"/>
      <c r="I23" s="68">
        <f>G23/18*F23</f>
        <v>5059.725</v>
      </c>
      <c r="J23" s="68">
        <f>505.97</f>
        <v>505.97</v>
      </c>
      <c r="K23" s="68">
        <f>ROUNDUP((I23*20%),2)</f>
        <v>1011.95</v>
      </c>
      <c r="L23" s="68"/>
      <c r="M23" s="68">
        <f>0</f>
        <v>0</v>
      </c>
      <c r="N23" s="76"/>
      <c r="O23" s="76"/>
      <c r="P23" s="68"/>
      <c r="Q23" s="76"/>
      <c r="R23" s="76"/>
      <c r="S23" s="76"/>
      <c r="T23" s="76"/>
      <c r="U23" s="76"/>
      <c r="V23" s="76"/>
      <c r="W23" s="76"/>
      <c r="X23" s="76"/>
      <c r="Y23" s="68">
        <f>0</f>
        <v>0</v>
      </c>
      <c r="Z23" s="69">
        <f>ROUNDUP(SUM(I23:Y23),2)</f>
        <v>6577.650000000001</v>
      </c>
      <c r="AA23" s="70">
        <f t="shared" si="0"/>
        <v>78931.8</v>
      </c>
    </row>
    <row r="24" spans="1:49" s="24" customFormat="1" ht="12.75">
      <c r="A24" s="72"/>
      <c r="B24" s="73"/>
      <c r="C24" s="74"/>
      <c r="D24" s="74"/>
      <c r="E24" s="66">
        <v>13</v>
      </c>
      <c r="F24" s="75">
        <f>23+3+13.5+5</f>
        <v>44.5</v>
      </c>
      <c r="G24" s="68">
        <v>7223.7</v>
      </c>
      <c r="H24" s="68"/>
      <c r="I24" s="68">
        <f>G24/18*F24</f>
        <v>17858.591666666667</v>
      </c>
      <c r="J24" s="68">
        <f>1846.06+361.18+1083.56+601.98</f>
        <v>3892.7799999999997</v>
      </c>
      <c r="K24" s="68">
        <f>ROUNDUP((I24*20%),2)</f>
        <v>3571.7200000000003</v>
      </c>
      <c r="L24" s="68"/>
      <c r="M24" s="68">
        <f>541.78+90.3+541.78+150.49+505.97</f>
        <v>1830.32</v>
      </c>
      <c r="N24" s="76"/>
      <c r="O24" s="76"/>
      <c r="P24" s="68"/>
      <c r="Q24" s="76"/>
      <c r="R24" s="76"/>
      <c r="S24" s="76"/>
      <c r="T24" s="76"/>
      <c r="U24" s="76"/>
      <c r="V24" s="76"/>
      <c r="W24" s="76"/>
      <c r="X24" s="76"/>
      <c r="Y24" s="68">
        <f>722.37</f>
        <v>722.37</v>
      </c>
      <c r="Z24" s="69">
        <f>ROUNDDOWN(SUM(I24:Y24),2)</f>
        <v>27875.78</v>
      </c>
      <c r="AA24" s="70">
        <f t="shared" si="0"/>
        <v>334509.36</v>
      </c>
      <c r="AB24" s="71">
        <f aca="true" t="shared" si="2" ref="AB24:AW24">SUM(F21:F25)</f>
        <v>76</v>
      </c>
      <c r="AC24" s="71">
        <f t="shared" si="2"/>
        <v>33731.5</v>
      </c>
      <c r="AD24" s="71">
        <f t="shared" si="2"/>
        <v>0</v>
      </c>
      <c r="AE24" s="71">
        <f t="shared" si="2"/>
        <v>28709.816666666666</v>
      </c>
      <c r="AF24" s="71">
        <f t="shared" si="2"/>
        <v>4398.75</v>
      </c>
      <c r="AG24" s="71">
        <f t="shared" si="2"/>
        <v>5741.97</v>
      </c>
      <c r="AH24" s="71">
        <f t="shared" si="2"/>
        <v>0</v>
      </c>
      <c r="AI24" s="71">
        <f t="shared" si="2"/>
        <v>2264.68</v>
      </c>
      <c r="AJ24" s="71">
        <f t="shared" si="2"/>
        <v>0</v>
      </c>
      <c r="AK24" s="71">
        <f t="shared" si="2"/>
        <v>0</v>
      </c>
      <c r="AL24" s="71">
        <f t="shared" si="2"/>
        <v>0</v>
      </c>
      <c r="AM24" s="71">
        <f t="shared" si="2"/>
        <v>0</v>
      </c>
      <c r="AN24" s="71">
        <f t="shared" si="2"/>
        <v>0</v>
      </c>
      <c r="AO24" s="71">
        <f t="shared" si="2"/>
        <v>0</v>
      </c>
      <c r="AP24" s="71">
        <f t="shared" si="2"/>
        <v>0</v>
      </c>
      <c r="AQ24" s="71">
        <f t="shared" si="2"/>
        <v>0</v>
      </c>
      <c r="AR24" s="71">
        <f t="shared" si="2"/>
        <v>0</v>
      </c>
      <c r="AS24" s="71">
        <f t="shared" si="2"/>
        <v>0</v>
      </c>
      <c r="AT24" s="71">
        <f t="shared" si="2"/>
        <v>0</v>
      </c>
      <c r="AU24" s="71">
        <f t="shared" si="2"/>
        <v>722.37</v>
      </c>
      <c r="AV24" s="71">
        <f t="shared" si="2"/>
        <v>41837.59</v>
      </c>
      <c r="AW24" s="71">
        <f t="shared" si="2"/>
        <v>502051.07999999996</v>
      </c>
    </row>
    <row r="25" spans="1:28" s="24" customFormat="1" ht="12.75">
      <c r="A25" s="77"/>
      <c r="B25" s="78"/>
      <c r="C25" s="79"/>
      <c r="D25" s="79"/>
      <c r="E25" s="66">
        <v>14</v>
      </c>
      <c r="F25" s="75">
        <f>0</f>
        <v>0</v>
      </c>
      <c r="G25" s="68">
        <v>7701.1</v>
      </c>
      <c r="H25" s="68"/>
      <c r="I25" s="68">
        <f>G25/18*F25</f>
        <v>0</v>
      </c>
      <c r="J25" s="68">
        <f>0</f>
        <v>0</v>
      </c>
      <c r="K25" s="68">
        <f>ROUNDDOWN((I25*20%),2)</f>
        <v>0</v>
      </c>
      <c r="L25" s="68"/>
      <c r="M25" s="68">
        <f>0</f>
        <v>0</v>
      </c>
      <c r="N25" s="76"/>
      <c r="O25" s="76"/>
      <c r="P25" s="68"/>
      <c r="Q25" s="76"/>
      <c r="R25" s="76"/>
      <c r="S25" s="76"/>
      <c r="T25" s="76"/>
      <c r="U25" s="76"/>
      <c r="V25" s="76"/>
      <c r="W25" s="76"/>
      <c r="X25" s="76"/>
      <c r="Y25" s="68">
        <f>0</f>
        <v>0</v>
      </c>
      <c r="Z25" s="69">
        <f>ROUNDUP(SUM(I25:Y25),2)</f>
        <v>0</v>
      </c>
      <c r="AA25" s="70">
        <f t="shared" si="0"/>
        <v>0</v>
      </c>
      <c r="AB25" s="71"/>
    </row>
    <row r="26" spans="1:47" s="24" customFormat="1" ht="12.75">
      <c r="A26" s="63">
        <v>5</v>
      </c>
      <c r="B26" s="64" t="s">
        <v>57</v>
      </c>
      <c r="C26" s="65">
        <v>2320</v>
      </c>
      <c r="D26" s="65">
        <v>8.28</v>
      </c>
      <c r="E26" s="66">
        <v>10</v>
      </c>
      <c r="F26" s="67">
        <f>0</f>
        <v>0</v>
      </c>
      <c r="G26" s="68">
        <v>5791.5</v>
      </c>
      <c r="H26" s="68"/>
      <c r="I26" s="68">
        <f>G26/18*F26</f>
        <v>0</v>
      </c>
      <c r="J26" s="68">
        <f>0</f>
        <v>0</v>
      </c>
      <c r="K26" s="68">
        <f>I26*5%</f>
        <v>0</v>
      </c>
      <c r="L26" s="68"/>
      <c r="M26" s="68">
        <f>0</f>
        <v>0</v>
      </c>
      <c r="N26" s="43"/>
      <c r="O26" s="43"/>
      <c r="P26" s="43"/>
      <c r="Q26" s="43"/>
      <c r="R26" s="43"/>
      <c r="S26" s="43"/>
      <c r="T26" s="68"/>
      <c r="U26" s="43"/>
      <c r="V26" s="43"/>
      <c r="W26" s="43"/>
      <c r="X26" s="43"/>
      <c r="Y26" s="43">
        <v>0</v>
      </c>
      <c r="Z26" s="69">
        <f>ROUNDUP(SUM(I26:Y26),2)</f>
        <v>0</v>
      </c>
      <c r="AA26" s="70">
        <f t="shared" si="0"/>
        <v>0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</row>
    <row r="27" spans="1:27" s="24" customFormat="1" ht="12.75">
      <c r="A27" s="72"/>
      <c r="B27" s="73"/>
      <c r="C27" s="74"/>
      <c r="D27" s="74"/>
      <c r="E27" s="66">
        <v>11</v>
      </c>
      <c r="F27" s="43">
        <f>1+4+0.25+0.5+2.25+4.75+3.5+1</f>
        <v>17.25</v>
      </c>
      <c r="G27" s="68">
        <v>6268.9</v>
      </c>
      <c r="H27" s="68">
        <f>0</f>
        <v>0</v>
      </c>
      <c r="I27" s="68">
        <f>ROUNDUP((G27/18*F27+H27),2)</f>
        <v>6007.7</v>
      </c>
      <c r="J27" s="68">
        <f>104.48+139.31+26.12+17.41+235.08+165.43+121.9+34.83</f>
        <v>844.5600000000002</v>
      </c>
      <c r="K27" s="68">
        <f>ROUNDDOWN((I27*5%),2)</f>
        <v>300.38</v>
      </c>
      <c r="L27" s="68"/>
      <c r="M27" s="68">
        <f>69.65</f>
        <v>69.65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68">
        <f>0</f>
        <v>0</v>
      </c>
      <c r="Z27" s="69">
        <f>ROUNDDOWN(SUM(I27:Y27),2)</f>
        <v>7222.29</v>
      </c>
      <c r="AA27" s="70">
        <f t="shared" si="0"/>
        <v>86667.48</v>
      </c>
    </row>
    <row r="28" spans="1:27" s="24" customFormat="1" ht="12.75">
      <c r="A28" s="72"/>
      <c r="B28" s="73"/>
      <c r="C28" s="74"/>
      <c r="D28" s="74"/>
      <c r="E28" s="66">
        <v>12</v>
      </c>
      <c r="F28" s="43">
        <f>5+6+1.5+0.5+3.75+5.75</f>
        <v>22.5</v>
      </c>
      <c r="G28" s="68">
        <v>6746.3</v>
      </c>
      <c r="H28" s="68"/>
      <c r="I28" s="68">
        <f>ROUNDUP((G28/18*F28+H28),2)</f>
        <v>8432.880000000001</v>
      </c>
      <c r="J28" s="68">
        <f>187.4+224.88+56.22+18.74+140.55+215.51</f>
        <v>843.3</v>
      </c>
      <c r="K28" s="68">
        <f>ROUNDDOWN((I28*5%),2)</f>
        <v>421.64</v>
      </c>
      <c r="L28" s="68"/>
      <c r="M28" s="68">
        <f>0</f>
        <v>0</v>
      </c>
      <c r="N28" s="76"/>
      <c r="O28" s="76"/>
      <c r="P28" s="68"/>
      <c r="Q28" s="76"/>
      <c r="R28" s="76"/>
      <c r="S28" s="76"/>
      <c r="T28" s="76"/>
      <c r="U28" s="76"/>
      <c r="V28" s="76"/>
      <c r="W28" s="76"/>
      <c r="X28" s="76"/>
      <c r="Y28" s="68">
        <f>0</f>
        <v>0</v>
      </c>
      <c r="Z28" s="69">
        <f>ROUNDDOWN(SUM(I28:Y28),2)</f>
        <v>9697.82</v>
      </c>
      <c r="AA28" s="70">
        <f t="shared" si="0"/>
        <v>116373.84</v>
      </c>
    </row>
    <row r="29" spans="1:49" s="24" customFormat="1" ht="12.75">
      <c r="A29" s="72"/>
      <c r="B29" s="73"/>
      <c r="C29" s="74"/>
      <c r="D29" s="74"/>
      <c r="E29" s="66">
        <v>13</v>
      </c>
      <c r="F29" s="43">
        <f>14+14+4+4+4+3.5+3.5+0.5+1+0.5+9.75+9.25+4+4.75+2</f>
        <v>78.75</v>
      </c>
      <c r="G29" s="68">
        <v>7223.7</v>
      </c>
      <c r="H29" s="68"/>
      <c r="I29" s="68">
        <f>ROUNDUP((G29/18*F29+H29),2)</f>
        <v>31603.69</v>
      </c>
      <c r="J29" s="68">
        <f>1123.69+481.58+481.58+321.05+280.92+421.38+40.13+120.4+60.2+782.57+1113.65+321.05+571.88+240.79</f>
        <v>6360.87</v>
      </c>
      <c r="K29" s="68">
        <f>ROUNDDOWN((I29*5%),2)</f>
        <v>1580.18</v>
      </c>
      <c r="L29" s="68"/>
      <c r="M29" s="68">
        <f>561.84+300.99+160.53+140.46+82.77+20.07+20.07+391.28+263.36+95.31+80.26+80.26</f>
        <v>2197.2000000000003</v>
      </c>
      <c r="N29" s="76"/>
      <c r="O29" s="76"/>
      <c r="P29" s="68">
        <v>722.37</v>
      </c>
      <c r="Q29" s="76"/>
      <c r="R29" s="76"/>
      <c r="S29" s="76"/>
      <c r="T29" s="76"/>
      <c r="U29" s="76"/>
      <c r="V29" s="76"/>
      <c r="W29" s="76"/>
      <c r="X29" s="76"/>
      <c r="Y29" s="68">
        <f>902.96+902.96</f>
        <v>1805.92</v>
      </c>
      <c r="Z29" s="69">
        <f>ROUNDDOWN(SUM(I29:Y29),2)</f>
        <v>44270.23</v>
      </c>
      <c r="AA29" s="70">
        <f t="shared" si="0"/>
        <v>531242.76</v>
      </c>
      <c r="AB29" s="71">
        <f aca="true" t="shared" si="3" ref="AB29:AW29">SUM(F26:F30)</f>
        <v>149</v>
      </c>
      <c r="AC29" s="71">
        <f t="shared" si="3"/>
        <v>33731.5</v>
      </c>
      <c r="AD29" s="71">
        <f t="shared" si="3"/>
        <v>0</v>
      </c>
      <c r="AE29" s="71">
        <f t="shared" si="3"/>
        <v>59093.36</v>
      </c>
      <c r="AF29" s="71">
        <f t="shared" si="3"/>
        <v>13648.98</v>
      </c>
      <c r="AG29" s="71">
        <f t="shared" si="3"/>
        <v>2954.6499999999996</v>
      </c>
      <c r="AH29" s="71">
        <f t="shared" si="3"/>
        <v>0</v>
      </c>
      <c r="AI29" s="71">
        <f t="shared" si="3"/>
        <v>2587.7300000000005</v>
      </c>
      <c r="AJ29" s="71">
        <f t="shared" si="3"/>
        <v>0</v>
      </c>
      <c r="AK29" s="71">
        <f t="shared" si="3"/>
        <v>0</v>
      </c>
      <c r="AL29" s="71">
        <f t="shared" si="3"/>
        <v>722.37</v>
      </c>
      <c r="AM29" s="71">
        <f t="shared" si="3"/>
        <v>0</v>
      </c>
      <c r="AN29" s="71">
        <f t="shared" si="3"/>
        <v>0</v>
      </c>
      <c r="AO29" s="71">
        <f t="shared" si="3"/>
        <v>0</v>
      </c>
      <c r="AP29" s="71">
        <f t="shared" si="3"/>
        <v>0</v>
      </c>
      <c r="AQ29" s="71">
        <f t="shared" si="3"/>
        <v>0</v>
      </c>
      <c r="AR29" s="71">
        <f t="shared" si="3"/>
        <v>0</v>
      </c>
      <c r="AS29" s="71">
        <f t="shared" si="3"/>
        <v>0</v>
      </c>
      <c r="AT29" s="71">
        <f t="shared" si="3"/>
        <v>0</v>
      </c>
      <c r="AU29" s="71">
        <f t="shared" si="3"/>
        <v>2768.56</v>
      </c>
      <c r="AV29" s="71">
        <f t="shared" si="3"/>
        <v>81775.65000000001</v>
      </c>
      <c r="AW29" s="71">
        <f t="shared" si="3"/>
        <v>981307.8</v>
      </c>
    </row>
    <row r="30" spans="1:28" s="24" customFormat="1" ht="12.75">
      <c r="A30" s="77"/>
      <c r="B30" s="78"/>
      <c r="C30" s="79"/>
      <c r="D30" s="79"/>
      <c r="E30" s="66">
        <v>14</v>
      </c>
      <c r="F30" s="43">
        <f>6+8+0.75+1.5+9.75+4.5</f>
        <v>30.5</v>
      </c>
      <c r="G30" s="68">
        <v>7701.1</v>
      </c>
      <c r="H30" s="68"/>
      <c r="I30" s="68">
        <f>ROUNDUP((G30/18*F30+H30),2)</f>
        <v>13049.09</v>
      </c>
      <c r="J30" s="68">
        <f>770.11+1026.81+1685.53+96.26+192.53+1251.43+577.58</f>
        <v>5600.25</v>
      </c>
      <c r="K30" s="68">
        <f>ROUNDDOWN((I30*5%),2)</f>
        <v>652.45</v>
      </c>
      <c r="L30" s="68"/>
      <c r="M30" s="68">
        <f>320.88</f>
        <v>320.88</v>
      </c>
      <c r="N30" s="76"/>
      <c r="O30" s="76"/>
      <c r="P30" s="68"/>
      <c r="Q30" s="76"/>
      <c r="R30" s="76"/>
      <c r="S30" s="76"/>
      <c r="T30" s="76"/>
      <c r="U30" s="76"/>
      <c r="V30" s="76"/>
      <c r="W30" s="76"/>
      <c r="X30" s="76"/>
      <c r="Y30" s="68">
        <f>962.64</f>
        <v>962.64</v>
      </c>
      <c r="Z30" s="69">
        <f>ROUNDDOWN(SUM(I30:Y30),2)</f>
        <v>20585.31</v>
      </c>
      <c r="AA30" s="70">
        <f t="shared" si="0"/>
        <v>247023.72000000003</v>
      </c>
      <c r="AB30" s="71"/>
    </row>
    <row r="31" spans="1:29" s="91" customFormat="1" ht="12.75">
      <c r="A31" s="80"/>
      <c r="B31" s="85" t="s">
        <v>18</v>
      </c>
      <c r="C31" s="86"/>
      <c r="D31" s="87">
        <f>SUM(D18:D30)</f>
        <v>14.25</v>
      </c>
      <c r="E31" s="87"/>
      <c r="F31" s="87"/>
      <c r="G31" s="88"/>
      <c r="H31" s="88"/>
      <c r="I31" s="88">
        <f>SUM(I18:I30)</f>
        <v>101470.79666666666</v>
      </c>
      <c r="J31" s="88">
        <f aca="true" t="shared" si="4" ref="J31:Z31">SUM(J18:J30)</f>
        <v>20192.492</v>
      </c>
      <c r="K31" s="88">
        <f t="shared" si="4"/>
        <v>11195.06</v>
      </c>
      <c r="L31" s="88">
        <f t="shared" si="4"/>
        <v>0</v>
      </c>
      <c r="M31" s="88">
        <f t="shared" si="4"/>
        <v>4852.410000000001</v>
      </c>
      <c r="N31" s="88">
        <f t="shared" si="4"/>
        <v>0</v>
      </c>
      <c r="O31" s="88">
        <f t="shared" si="4"/>
        <v>0</v>
      </c>
      <c r="P31" s="88">
        <f t="shared" si="4"/>
        <v>722.37</v>
      </c>
      <c r="Q31" s="88">
        <f t="shared" si="4"/>
        <v>0</v>
      </c>
      <c r="R31" s="88">
        <f t="shared" si="4"/>
        <v>0</v>
      </c>
      <c r="S31" s="88">
        <f t="shared" si="4"/>
        <v>0</v>
      </c>
      <c r="T31" s="88">
        <f t="shared" si="4"/>
        <v>0</v>
      </c>
      <c r="U31" s="88">
        <f t="shared" si="4"/>
        <v>0</v>
      </c>
      <c r="V31" s="88">
        <f t="shared" si="4"/>
        <v>0</v>
      </c>
      <c r="W31" s="88">
        <f t="shared" si="4"/>
        <v>0</v>
      </c>
      <c r="X31" s="88">
        <f t="shared" si="4"/>
        <v>0</v>
      </c>
      <c r="Y31" s="88">
        <f t="shared" si="4"/>
        <v>3490.93</v>
      </c>
      <c r="Z31" s="88">
        <f t="shared" si="4"/>
        <v>141924.062</v>
      </c>
      <c r="AA31" s="89">
        <f>SUM(AA18:AA30)</f>
        <v>1703088.7439999997</v>
      </c>
      <c r="AB31" s="90">
        <f>SUM(Z18:Z30)</f>
        <v>141924.062</v>
      </c>
      <c r="AC31" s="90"/>
    </row>
    <row r="32" spans="1:27" s="24" customFormat="1" ht="22.5" customHeight="1">
      <c r="A32" s="83">
        <v>6</v>
      </c>
      <c r="B32" s="81" t="s">
        <v>10</v>
      </c>
      <c r="C32" s="82">
        <v>3231</v>
      </c>
      <c r="D32" s="82">
        <v>0.25</v>
      </c>
      <c r="E32" s="84">
        <v>6</v>
      </c>
      <c r="F32" s="84"/>
      <c r="G32" s="43">
        <v>4195</v>
      </c>
      <c r="H32" s="43"/>
      <c r="I32" s="43">
        <f>G32*D32</f>
        <v>1048.75</v>
      </c>
      <c r="J32" s="43">
        <f>I32*0.1</f>
        <v>104.875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>
        <f>6500*D32-I32-J32-K32</f>
        <v>471.375</v>
      </c>
      <c r="W32" s="43">
        <f>I32*20%</f>
        <v>209.75</v>
      </c>
      <c r="X32" s="43"/>
      <c r="Y32" s="43"/>
      <c r="Z32" s="43">
        <f>SUM(I32:Y32)</f>
        <v>1834.75</v>
      </c>
      <c r="AA32" s="67">
        <f>Z32*12</f>
        <v>22017</v>
      </c>
    </row>
    <row r="33" spans="1:29" s="24" customFormat="1" ht="12.75">
      <c r="A33" s="83">
        <v>7</v>
      </c>
      <c r="B33" s="81" t="s">
        <v>7</v>
      </c>
      <c r="C33" s="82">
        <v>3340</v>
      </c>
      <c r="D33" s="82">
        <v>1.8</v>
      </c>
      <c r="E33" s="84">
        <v>10</v>
      </c>
      <c r="F33" s="84"/>
      <c r="G33" s="43">
        <v>5791.5</v>
      </c>
      <c r="H33" s="43"/>
      <c r="I33" s="43">
        <f>G33*D33</f>
        <v>10424.7</v>
      </c>
      <c r="J33" s="43">
        <f>ROUNDUP((I33*0.1),2)</f>
        <v>1042.47</v>
      </c>
      <c r="K33" s="43">
        <f>I33*0.25</f>
        <v>2606.175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>
        <f>SUM(I33:Y33)</f>
        <v>14073.345000000001</v>
      </c>
      <c r="AA33" s="67">
        <f aca="true" t="shared" si="5" ref="AA33:AA43">Z33*12</f>
        <v>168880.14</v>
      </c>
      <c r="AB33" s="71">
        <f>Z32+Z33+Z34</f>
        <v>17766.201250000002</v>
      </c>
      <c r="AC33" s="71"/>
    </row>
    <row r="34" spans="1:27" s="24" customFormat="1" ht="21">
      <c r="A34" s="83">
        <v>8</v>
      </c>
      <c r="B34" s="81" t="s">
        <v>8</v>
      </c>
      <c r="C34" s="82" t="s">
        <v>9</v>
      </c>
      <c r="D34" s="82">
        <v>0.25</v>
      </c>
      <c r="E34" s="84">
        <v>9</v>
      </c>
      <c r="F34" s="84"/>
      <c r="G34" s="43">
        <v>5505.5</v>
      </c>
      <c r="H34" s="43"/>
      <c r="I34" s="43">
        <f>G34*D34</f>
        <v>1376.375</v>
      </c>
      <c r="J34" s="43">
        <f>I34*10%</f>
        <v>137.63750000000002</v>
      </c>
      <c r="K34" s="43">
        <f>I34*0.25</f>
        <v>344.09375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>
        <f aca="true" t="shared" si="6" ref="Z34:Z43">SUM(I34:Y34)</f>
        <v>1858.10625</v>
      </c>
      <c r="AA34" s="67">
        <f>Z34*12</f>
        <v>22297.275</v>
      </c>
    </row>
    <row r="35" spans="1:27" ht="21">
      <c r="A35" s="36">
        <v>9</v>
      </c>
      <c r="B35" s="37" t="s">
        <v>12</v>
      </c>
      <c r="C35" s="38">
        <v>5131</v>
      </c>
      <c r="D35" s="38">
        <v>1.15</v>
      </c>
      <c r="E35" s="39">
        <v>6</v>
      </c>
      <c r="F35" s="39"/>
      <c r="G35" s="40">
        <v>4195</v>
      </c>
      <c r="H35" s="40"/>
      <c r="I35" s="40">
        <f aca="true" t="shared" si="7" ref="I35:I43">G35*D35</f>
        <v>4824.25</v>
      </c>
      <c r="J35" s="40"/>
      <c r="K35" s="40"/>
      <c r="L35" s="40"/>
      <c r="M35" s="40"/>
      <c r="N35" s="40"/>
      <c r="O35" s="40"/>
      <c r="P35" s="40"/>
      <c r="Q35" s="40"/>
      <c r="R35" s="40">
        <f>I35*10%</f>
        <v>482.425</v>
      </c>
      <c r="S35" s="40"/>
      <c r="T35" s="40"/>
      <c r="U35" s="40"/>
      <c r="V35" s="40">
        <f>6500*D35-I35</f>
        <v>2650.749999999999</v>
      </c>
      <c r="W35" s="44"/>
      <c r="X35" s="40"/>
      <c r="Y35" s="40"/>
      <c r="Z35" s="43">
        <f t="shared" si="6"/>
        <v>7957.424999999999</v>
      </c>
      <c r="AA35" s="41">
        <f>Z35*12</f>
        <v>95489.09999999999</v>
      </c>
    </row>
    <row r="36" spans="1:27" ht="42">
      <c r="A36" s="36">
        <v>10</v>
      </c>
      <c r="B36" s="37" t="s">
        <v>13</v>
      </c>
      <c r="C36" s="38">
        <v>8264</v>
      </c>
      <c r="D36" s="38">
        <v>0.25</v>
      </c>
      <c r="E36" s="39">
        <v>2</v>
      </c>
      <c r="F36" s="39"/>
      <c r="G36" s="40">
        <v>3153</v>
      </c>
      <c r="H36" s="40"/>
      <c r="I36" s="40">
        <f t="shared" si="7"/>
        <v>788.25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>
        <f aca="true" t="shared" si="8" ref="V36:V43">6500*D36-I36-J36-K36</f>
        <v>836.75</v>
      </c>
      <c r="W36" s="40"/>
      <c r="X36" s="40"/>
      <c r="Y36" s="40"/>
      <c r="Z36" s="43">
        <f t="shared" si="6"/>
        <v>1625</v>
      </c>
      <c r="AA36" s="41">
        <f>Z36*12</f>
        <v>19500</v>
      </c>
    </row>
    <row r="37" spans="1:27" ht="66" customHeight="1">
      <c r="A37" s="36">
        <v>11</v>
      </c>
      <c r="B37" s="10" t="s">
        <v>25</v>
      </c>
      <c r="C37" s="38">
        <v>7129</v>
      </c>
      <c r="D37" s="38">
        <v>0.5</v>
      </c>
      <c r="E37" s="39">
        <v>3</v>
      </c>
      <c r="F37" s="39"/>
      <c r="G37" s="40">
        <v>3414</v>
      </c>
      <c r="H37" s="40"/>
      <c r="I37" s="40">
        <f t="shared" si="7"/>
        <v>1707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>
        <f t="shared" si="8"/>
        <v>1543</v>
      </c>
      <c r="W37" s="40"/>
      <c r="X37" s="40"/>
      <c r="Y37" s="40"/>
      <c r="Z37" s="43">
        <f t="shared" si="6"/>
        <v>3250</v>
      </c>
      <c r="AA37" s="41">
        <f t="shared" si="5"/>
        <v>39000</v>
      </c>
    </row>
    <row r="38" spans="1:27" ht="12.75">
      <c r="A38" s="36">
        <v>12</v>
      </c>
      <c r="B38" s="37" t="s">
        <v>11</v>
      </c>
      <c r="C38" s="38">
        <v>9152</v>
      </c>
      <c r="D38" s="38">
        <v>1</v>
      </c>
      <c r="E38" s="39">
        <v>1</v>
      </c>
      <c r="F38" s="39"/>
      <c r="G38" s="40">
        <v>2893</v>
      </c>
      <c r="H38" s="40"/>
      <c r="I38" s="40">
        <f t="shared" si="7"/>
        <v>2893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>
        <f t="shared" si="8"/>
        <v>3607</v>
      </c>
      <c r="W38" s="40"/>
      <c r="X38" s="40">
        <f>I38*0.4</f>
        <v>1157.2</v>
      </c>
      <c r="Z38" s="43">
        <f>SUM(I38:X38)</f>
        <v>7657.2</v>
      </c>
      <c r="AA38" s="41">
        <f t="shared" si="5"/>
        <v>91886.4</v>
      </c>
    </row>
    <row r="39" spans="1:27" ht="31.5">
      <c r="A39" s="36">
        <v>13</v>
      </c>
      <c r="B39" s="37" t="s">
        <v>26</v>
      </c>
      <c r="C39" s="38">
        <v>9132</v>
      </c>
      <c r="D39" s="38">
        <v>1</v>
      </c>
      <c r="E39" s="39">
        <v>1</v>
      </c>
      <c r="F39" s="39"/>
      <c r="G39" s="40">
        <v>2893</v>
      </c>
      <c r="H39" s="40"/>
      <c r="I39" s="40">
        <f t="shared" si="7"/>
        <v>2893</v>
      </c>
      <c r="J39" s="40"/>
      <c r="K39" s="40"/>
      <c r="L39" s="40"/>
      <c r="M39" s="40"/>
      <c r="N39" s="40"/>
      <c r="O39" s="40"/>
      <c r="P39" s="40"/>
      <c r="Q39" s="40"/>
      <c r="R39" s="40">
        <f>I39*10%</f>
        <v>289.3</v>
      </c>
      <c r="S39" s="40"/>
      <c r="T39" s="40"/>
      <c r="U39" s="40"/>
      <c r="V39" s="40">
        <f t="shared" si="8"/>
        <v>3607</v>
      </c>
      <c r="W39" s="45"/>
      <c r="X39" s="40"/>
      <c r="Y39" s="40"/>
      <c r="Z39" s="43">
        <f t="shared" si="6"/>
        <v>6789.3</v>
      </c>
      <c r="AA39" s="41">
        <f t="shared" si="5"/>
        <v>81471.6</v>
      </c>
    </row>
    <row r="40" spans="1:27" ht="16.5" customHeight="1">
      <c r="A40" s="36">
        <v>14</v>
      </c>
      <c r="B40" s="37" t="s">
        <v>14</v>
      </c>
      <c r="C40" s="38">
        <v>5122</v>
      </c>
      <c r="D40" s="38">
        <v>1</v>
      </c>
      <c r="E40" s="39">
        <v>4</v>
      </c>
      <c r="F40" s="39"/>
      <c r="G40" s="40">
        <v>3674</v>
      </c>
      <c r="H40" s="40"/>
      <c r="I40" s="40">
        <f t="shared" si="7"/>
        <v>3674</v>
      </c>
      <c r="J40" s="40"/>
      <c r="K40" s="40"/>
      <c r="L40" s="40"/>
      <c r="M40" s="40"/>
      <c r="N40" s="40"/>
      <c r="O40" s="40"/>
      <c r="P40" s="40"/>
      <c r="Q40" s="40"/>
      <c r="R40" s="40"/>
      <c r="S40" s="40">
        <f>I40*12%</f>
        <v>440.88</v>
      </c>
      <c r="T40" s="40"/>
      <c r="U40" s="40"/>
      <c r="V40" s="40">
        <f t="shared" si="8"/>
        <v>2826</v>
      </c>
      <c r="W40" s="45"/>
      <c r="X40" s="40"/>
      <c r="Y40" s="40"/>
      <c r="Z40" s="43">
        <f t="shared" si="6"/>
        <v>6940.88</v>
      </c>
      <c r="AA40" s="41">
        <f t="shared" si="5"/>
        <v>83290.56</v>
      </c>
    </row>
    <row r="41" spans="1:29" ht="21">
      <c r="A41" s="36">
        <v>15</v>
      </c>
      <c r="B41" s="37" t="s">
        <v>15</v>
      </c>
      <c r="C41" s="38">
        <v>9322</v>
      </c>
      <c r="D41" s="38">
        <v>0.5</v>
      </c>
      <c r="E41" s="39">
        <v>1</v>
      </c>
      <c r="F41" s="39"/>
      <c r="G41" s="40">
        <v>2893</v>
      </c>
      <c r="H41" s="40"/>
      <c r="I41" s="40">
        <f t="shared" si="7"/>
        <v>1446.5</v>
      </c>
      <c r="J41" s="40"/>
      <c r="K41" s="40"/>
      <c r="L41" s="40"/>
      <c r="M41" s="40"/>
      <c r="N41" s="40"/>
      <c r="O41" s="40"/>
      <c r="P41" s="40"/>
      <c r="Q41" s="40">
        <f>I41*8%</f>
        <v>115.72</v>
      </c>
      <c r="R41" s="40"/>
      <c r="S41" s="40"/>
      <c r="T41" s="40"/>
      <c r="U41" s="40"/>
      <c r="V41" s="40">
        <f t="shared" si="8"/>
        <v>1803.5</v>
      </c>
      <c r="W41" s="45"/>
      <c r="X41" s="40"/>
      <c r="Y41" s="40"/>
      <c r="Z41" s="43">
        <f t="shared" si="6"/>
        <v>3365.7200000000003</v>
      </c>
      <c r="AA41" s="41">
        <f t="shared" si="5"/>
        <v>40388.64</v>
      </c>
      <c r="AC41" s="6"/>
    </row>
    <row r="42" spans="1:29" ht="15.75" customHeight="1">
      <c r="A42" s="36">
        <v>16</v>
      </c>
      <c r="B42" s="37" t="s">
        <v>16</v>
      </c>
      <c r="C42" s="38">
        <v>9411</v>
      </c>
      <c r="D42" s="38">
        <v>1</v>
      </c>
      <c r="E42" s="39">
        <v>2</v>
      </c>
      <c r="F42" s="39"/>
      <c r="G42" s="40">
        <v>3153</v>
      </c>
      <c r="H42" s="40"/>
      <c r="I42" s="40">
        <f t="shared" si="7"/>
        <v>3153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>
        <f t="shared" si="8"/>
        <v>3347</v>
      </c>
      <c r="W42" s="40"/>
      <c r="X42" s="40"/>
      <c r="Y42" s="40"/>
      <c r="Z42" s="43">
        <f t="shared" si="6"/>
        <v>6500</v>
      </c>
      <c r="AA42" s="41">
        <f t="shared" si="5"/>
        <v>78000</v>
      </c>
      <c r="AC42" s="6"/>
    </row>
    <row r="43" spans="1:27" ht="14.25" customHeight="1">
      <c r="A43" s="36">
        <v>17</v>
      </c>
      <c r="B43" s="37" t="s">
        <v>17</v>
      </c>
      <c r="C43" s="38">
        <v>9162</v>
      </c>
      <c r="D43" s="38">
        <v>0.5</v>
      </c>
      <c r="E43" s="39">
        <v>1</v>
      </c>
      <c r="F43" s="39"/>
      <c r="G43" s="40">
        <v>2893</v>
      </c>
      <c r="H43" s="40"/>
      <c r="I43" s="40">
        <f t="shared" si="7"/>
        <v>1446.5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>
        <f t="shared" si="8"/>
        <v>1803.5</v>
      </c>
      <c r="W43" s="40"/>
      <c r="X43" s="40"/>
      <c r="Y43" s="40"/>
      <c r="Z43" s="43">
        <f t="shared" si="6"/>
        <v>3250</v>
      </c>
      <c r="AA43" s="41">
        <f t="shared" si="5"/>
        <v>39000</v>
      </c>
    </row>
    <row r="44" spans="1:29" ht="14.25" customHeight="1">
      <c r="A44" s="36"/>
      <c r="B44" s="37" t="s">
        <v>18</v>
      </c>
      <c r="C44" s="38"/>
      <c r="D44" s="38">
        <f>SUM(D32:D43)</f>
        <v>9.2</v>
      </c>
      <c r="E44" s="38"/>
      <c r="F44" s="38"/>
      <c r="G44" s="42"/>
      <c r="H44" s="42"/>
      <c r="I44" s="42">
        <f>SUM(I32:I43)</f>
        <v>35675.325</v>
      </c>
      <c r="J44" s="42">
        <f aca="true" t="shared" si="9" ref="J44:Z44">SUM(J32:J43)</f>
        <v>1284.9825</v>
      </c>
      <c r="K44" s="42">
        <f t="shared" si="9"/>
        <v>2950.26875</v>
      </c>
      <c r="L44" s="42">
        <f t="shared" si="9"/>
        <v>0</v>
      </c>
      <c r="M44" s="42">
        <f t="shared" si="9"/>
        <v>0</v>
      </c>
      <c r="N44" s="42">
        <f t="shared" si="9"/>
        <v>0</v>
      </c>
      <c r="O44" s="42">
        <f t="shared" si="9"/>
        <v>0</v>
      </c>
      <c r="P44" s="42">
        <f t="shared" si="9"/>
        <v>0</v>
      </c>
      <c r="Q44" s="42">
        <f t="shared" si="9"/>
        <v>115.72</v>
      </c>
      <c r="R44" s="42">
        <f t="shared" si="9"/>
        <v>771.725</v>
      </c>
      <c r="S44" s="42">
        <f t="shared" si="9"/>
        <v>440.88</v>
      </c>
      <c r="T44" s="42">
        <f t="shared" si="9"/>
        <v>0</v>
      </c>
      <c r="U44" s="42">
        <f t="shared" si="9"/>
        <v>0</v>
      </c>
      <c r="V44" s="42">
        <f t="shared" si="9"/>
        <v>22495.875</v>
      </c>
      <c r="W44" s="42">
        <f t="shared" si="9"/>
        <v>209.75</v>
      </c>
      <c r="X44" s="42">
        <f t="shared" si="9"/>
        <v>1157.2</v>
      </c>
      <c r="Y44" s="42">
        <f t="shared" si="9"/>
        <v>0</v>
      </c>
      <c r="Z44" s="42">
        <f t="shared" si="9"/>
        <v>65101.72625</v>
      </c>
      <c r="AA44" s="39">
        <f>SUM(AA32:AA43)</f>
        <v>781220.715</v>
      </c>
      <c r="AC44" s="6"/>
    </row>
    <row r="45" spans="1:28" ht="10.5" customHeight="1">
      <c r="A45" s="46"/>
      <c r="B45" s="46" t="s">
        <v>29</v>
      </c>
      <c r="C45" s="46"/>
      <c r="D45" s="45">
        <f>D31+D44</f>
        <v>23.45</v>
      </c>
      <c r="E45" s="45"/>
      <c r="F45" s="45"/>
      <c r="G45" s="47"/>
      <c r="H45" s="47"/>
      <c r="I45" s="47">
        <f aca="true" t="shared" si="10" ref="I45:AA45">I31+I44</f>
        <v>137146.12166666664</v>
      </c>
      <c r="J45" s="47">
        <f t="shared" si="10"/>
        <v>21477.474499999997</v>
      </c>
      <c r="K45" s="47">
        <f t="shared" si="10"/>
        <v>14145.32875</v>
      </c>
      <c r="L45" s="47">
        <f t="shared" si="10"/>
        <v>0</v>
      </c>
      <c r="M45" s="47">
        <f t="shared" si="10"/>
        <v>4852.410000000001</v>
      </c>
      <c r="N45" s="47">
        <f t="shared" si="10"/>
        <v>0</v>
      </c>
      <c r="O45" s="47">
        <f t="shared" si="10"/>
        <v>0</v>
      </c>
      <c r="P45" s="47">
        <f t="shared" si="10"/>
        <v>722.37</v>
      </c>
      <c r="Q45" s="47">
        <f t="shared" si="10"/>
        <v>115.72</v>
      </c>
      <c r="R45" s="47">
        <f t="shared" si="10"/>
        <v>771.725</v>
      </c>
      <c r="S45" s="47">
        <f t="shared" si="10"/>
        <v>440.88</v>
      </c>
      <c r="T45" s="47">
        <f t="shared" si="10"/>
        <v>0</v>
      </c>
      <c r="U45" s="47">
        <f t="shared" si="10"/>
        <v>0</v>
      </c>
      <c r="V45" s="47">
        <f t="shared" si="10"/>
        <v>22495.875</v>
      </c>
      <c r="W45" s="47">
        <f t="shared" si="10"/>
        <v>209.75</v>
      </c>
      <c r="X45" s="47">
        <f t="shared" si="10"/>
        <v>1157.2</v>
      </c>
      <c r="Y45" s="47">
        <f t="shared" si="10"/>
        <v>3490.93</v>
      </c>
      <c r="Z45" s="47">
        <f t="shared" si="10"/>
        <v>207025.78825</v>
      </c>
      <c r="AA45" s="48">
        <f t="shared" si="10"/>
        <v>2484309.459</v>
      </c>
      <c r="AB45" s="6"/>
    </row>
    <row r="46" spans="1:28" ht="11.25" customHeight="1" hidden="1">
      <c r="A46" s="15"/>
      <c r="B46" s="15"/>
      <c r="C46" s="15"/>
      <c r="D46" s="15"/>
      <c r="E46" s="15"/>
      <c r="F46" s="15"/>
      <c r="G46" s="16"/>
      <c r="H46" s="16"/>
      <c r="I46" s="16"/>
      <c r="J46" s="16"/>
      <c r="K46" s="1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2"/>
      <c r="AA46" s="17"/>
      <c r="AB46" s="6"/>
    </row>
    <row r="47" spans="1:29" ht="24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2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2"/>
      <c r="AA47" s="5"/>
      <c r="AB47" s="6">
        <f>SUM(Z32:Z43)</f>
        <v>65101.72625</v>
      </c>
      <c r="AC47" s="6">
        <f>Z44+Z31</f>
        <v>207025.78825</v>
      </c>
    </row>
    <row r="48" spans="1:29" ht="12.75" customHeight="1">
      <c r="A48" s="14"/>
      <c r="B48" s="57" t="s">
        <v>33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6">
        <f>SUM(I44:Y44)</f>
        <v>65101.72624999999</v>
      </c>
      <c r="AC48" s="6">
        <f>SUM(I45:Y45)</f>
        <v>207025.78491666666</v>
      </c>
    </row>
    <row r="49" spans="1:27" ht="14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6"/>
      <c r="O49" s="26"/>
      <c r="P49" s="26"/>
      <c r="Q49" s="26"/>
      <c r="R49" s="26"/>
      <c r="S49" s="26"/>
      <c r="T49" s="26"/>
      <c r="U49" s="26"/>
      <c r="V49" s="2"/>
      <c r="W49" s="2"/>
      <c r="X49" s="2"/>
      <c r="Y49" s="2"/>
      <c r="Z49" s="23"/>
      <c r="AA49" s="2"/>
    </row>
    <row r="50" spans="1:27" ht="12.75">
      <c r="A50" s="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25"/>
      <c r="O50" s="25"/>
      <c r="P50" s="25"/>
      <c r="Q50" s="25"/>
      <c r="R50" s="25"/>
      <c r="S50" s="25"/>
      <c r="T50" s="25"/>
      <c r="U50" s="25"/>
      <c r="V50" s="2"/>
      <c r="W50" s="2"/>
      <c r="X50" s="2"/>
      <c r="Y50" s="2"/>
      <c r="Z50" s="21"/>
      <c r="AA50" s="2"/>
    </row>
    <row r="51" ht="12.75">
      <c r="Y51" s="6"/>
    </row>
    <row r="52" ht="12.75">
      <c r="Y52" s="6"/>
    </row>
    <row r="53" ht="12.75">
      <c r="AA53" s="2"/>
    </row>
  </sheetData>
  <sheetProtection/>
  <mergeCells count="45">
    <mergeCell ref="S15:S16"/>
    <mergeCell ref="T15:T16"/>
    <mergeCell ref="B21:B25"/>
    <mergeCell ref="C21:C25"/>
    <mergeCell ref="D21:D25"/>
    <mergeCell ref="C14:C16"/>
    <mergeCell ref="D14:D16"/>
    <mergeCell ref="N15:N16"/>
    <mergeCell ref="M15:M16"/>
    <mergeCell ref="W15:W16"/>
    <mergeCell ref="Y15:Y16"/>
    <mergeCell ref="Z14:Z16"/>
    <mergeCell ref="B50:M50"/>
    <mergeCell ref="A47:K47"/>
    <mergeCell ref="A49:M49"/>
    <mergeCell ref="A14:A16"/>
    <mergeCell ref="B14:B16"/>
    <mergeCell ref="R15:R16"/>
    <mergeCell ref="O15:O16"/>
    <mergeCell ref="P15:P16"/>
    <mergeCell ref="Q15:Q16"/>
    <mergeCell ref="K15:K16"/>
    <mergeCell ref="B48:AA48"/>
    <mergeCell ref="E14:E16"/>
    <mergeCell ref="G14:G16"/>
    <mergeCell ref="I14:I16"/>
    <mergeCell ref="J15:J16"/>
    <mergeCell ref="AA14:AA16"/>
    <mergeCell ref="A26:A30"/>
    <mergeCell ref="B26:B30"/>
    <mergeCell ref="C26:C30"/>
    <mergeCell ref="D26:D30"/>
    <mergeCell ref="U15:U16"/>
    <mergeCell ref="V15:V16"/>
    <mergeCell ref="L15:L16"/>
    <mergeCell ref="F14:F16"/>
    <mergeCell ref="H14:H16"/>
    <mergeCell ref="A21:A25"/>
    <mergeCell ref="V1:AA1"/>
    <mergeCell ref="Y8:Z8"/>
    <mergeCell ref="I11:U11"/>
    <mergeCell ref="I10:U10"/>
    <mergeCell ref="M14:Y14"/>
    <mergeCell ref="C12:Y12"/>
    <mergeCell ref="J14:L14"/>
  </mergeCells>
  <printOptions/>
  <pageMargins left="0.7" right="0.7" top="0.75" bottom="0.75" header="0.3" footer="0.3"/>
  <pageSetup horizontalDpi="600" verticalDpi="600" orientation="landscape" paperSize="9" scale="74" r:id="rId1"/>
  <ignoredErrors>
    <ignoredError sqref="AA31 Y24:Z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AsusRaid</cp:lastModifiedBy>
  <cp:lastPrinted>2022-08-04T06:25:29Z</cp:lastPrinted>
  <dcterms:created xsi:type="dcterms:W3CDTF">2019-10-04T07:25:01Z</dcterms:created>
  <dcterms:modified xsi:type="dcterms:W3CDTF">2022-08-04T06:26:31Z</dcterms:modified>
  <cp:category/>
  <cp:version/>
  <cp:contentType/>
  <cp:contentStatus/>
</cp:coreProperties>
</file>